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vor.sharepoint.com/sites/Tavor-Data/Shared Documents/מכרזים קבלנים ושירותים/2024/‏‏‏‏‏‏מכרז 02-2024, הסעות תלמידים/"/>
    </mc:Choice>
  </mc:AlternateContent>
  <xr:revisionPtr revIDLastSave="4" documentId="11_5BAA639F6BA10F0A87A2DFB224A4C14E9EA981F3" xr6:coauthVersionLast="47" xr6:coauthVersionMax="47" xr10:uidLastSave="{5EC35CF8-3CE6-4C16-917F-910617DAF1F6}"/>
  <bookViews>
    <workbookView xWindow="-28920" yWindow="-120" windowWidth="29040" windowHeight="15840" activeTab="2" xr2:uid="{00000000-000D-0000-FFFF-FFFF00000000}"/>
  </bookViews>
  <sheets>
    <sheet name="ח.רגיל" sheetId="1" r:id="rId1"/>
    <sheet name="ח.מיוחד" sheetId="2" r:id="rId2"/>
    <sheet name="רווחה" sheetId="3" r:id="rId3"/>
  </sheets>
  <externalReferences>
    <externalReference r:id="rId4"/>
  </externalReferences>
  <definedNames>
    <definedName name="_1Excel_BuiltIn_Print_Area_5_1_1">#REF!</definedName>
    <definedName name="_2Excel_BuiltIn_Print_Titles_4_1_1">#REF!</definedName>
    <definedName name="_3Excel_BuiltIn_Print_Titles_5_1_1">#REF!</definedName>
    <definedName name="Excel_BuiltIn__FilterDatabase_1">#REF!</definedName>
    <definedName name="Excel_BuiltIn__FilterDatabase_1_1">#REF!</definedName>
    <definedName name="Excel_BuiltIn__FilterDatabase_6">#REF!</definedName>
    <definedName name="Excel_BuiltIn_Print_Area_1" localSheetId="1">#REF!</definedName>
    <definedName name="Excel_BuiltIn_Print_Area_1" localSheetId="2">#REF!</definedName>
    <definedName name="Excel_BuiltIn_Print_Area_1">#REF!</definedName>
    <definedName name="Excel_BuiltIn_Print_Area_1_1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5">#REF!</definedName>
    <definedName name="Excel_BuiltIn_Print_Area_5_1">#REF!</definedName>
    <definedName name="Excel_BuiltIn_Print_Area_6">#REF!</definedName>
    <definedName name="Excel_BuiltIn_Print_Area_8">#REF!</definedName>
    <definedName name="Excel_BuiltIn_Print_Titles_3">#REF!</definedName>
    <definedName name="Excel_BuiltIn_Print_Titles_4">#REF!</definedName>
    <definedName name="Excel_BuiltIn_Print_Titles_4_1">#REF!</definedName>
    <definedName name="Excel_BuiltIn_Print_Titles_5">#REF!</definedName>
    <definedName name="Excel_BuiltIn_Print_Titles_5_1">#REF!</definedName>
    <definedName name="Excel_BuiltIn_Print_Titles_6">#REF!</definedName>
    <definedName name="Excel_BuiltIn_Print_Titles_8">#REF!</definedName>
    <definedName name="_xlnm.Print_Area" localSheetId="1">ח.מיוחד!$A$1:$O$49</definedName>
    <definedName name="_xlnm.Print_Area" localSheetId="0">ח.רגיל!$B$1:$O$22</definedName>
    <definedName name="_xlnm.Print_Area" localSheetId="2">רווחה!$B$1:$N$17</definedName>
    <definedName name="_xlnm.Print_Titles" localSheetId="1">ח.מיוחד!$1:$4</definedName>
    <definedName name="ינואר_09">#REF!</definedName>
    <definedName name="מרץ_09">#REF!</definedName>
    <definedName name="פברואר_09">[1]גיליון1!$M$5:$M$58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" l="1"/>
  <c r="N6" i="3"/>
  <c r="N5" i="3"/>
  <c r="N1" i="3"/>
  <c r="O6" i="2"/>
  <c r="O5" i="2"/>
  <c r="O19" i="2"/>
  <c r="O18" i="2"/>
  <c r="O17" i="2"/>
  <c r="O16" i="2"/>
  <c r="O15" i="2"/>
  <c r="O12" i="2"/>
  <c r="O11" i="2"/>
  <c r="O10" i="2"/>
  <c r="O9" i="2"/>
  <c r="O8" i="2"/>
  <c r="O7" i="2"/>
  <c r="O32" i="2"/>
  <c r="O31" i="2"/>
  <c r="O30" i="2"/>
  <c r="O29" i="2"/>
  <c r="O27" i="2"/>
  <c r="O26" i="2"/>
  <c r="O25" i="2"/>
  <c r="O24" i="2"/>
  <c r="O23" i="2"/>
  <c r="O22" i="2"/>
  <c r="O21" i="2"/>
  <c r="O20" i="2"/>
  <c r="T3" i="2"/>
  <c r="T2" i="2"/>
  <c r="O14" i="2" s="1"/>
  <c r="O1" i="2"/>
  <c r="O13" i="1"/>
  <c r="O12" i="1"/>
  <c r="O11" i="1"/>
  <c r="O10" i="1"/>
  <c r="O9" i="1"/>
  <c r="O8" i="1"/>
  <c r="O7" i="1"/>
  <c r="O6" i="1"/>
  <c r="O5" i="1"/>
  <c r="F8" i="1"/>
  <c r="F7" i="1"/>
  <c r="O1" i="1"/>
  <c r="O14" i="1" l="1"/>
  <c r="O16" i="1" s="1"/>
  <c r="O40" i="2" s="1"/>
  <c r="F14" i="1"/>
  <c r="O28" i="2"/>
  <c r="N8" i="3"/>
  <c r="O33" i="2"/>
  <c r="O34" i="2"/>
  <c r="O13" i="2"/>
  <c r="O35" i="2"/>
  <c r="O36" i="2" l="1"/>
  <c r="O38" i="2" s="1"/>
  <c r="O42" i="2" s="1"/>
</calcChain>
</file>

<file path=xl/sharedStrings.xml><?xml version="1.0" encoding="utf-8"?>
<sst xmlns="http://schemas.openxmlformats.org/spreadsheetml/2006/main" count="353" uniqueCount="130">
  <si>
    <t>מועצה מקומית כפר תבור</t>
  </si>
  <si>
    <t>חינוך רגיל</t>
  </si>
  <si>
    <t>טבלאות הסעה למכרז לשנת תשפ"ה</t>
  </si>
  <si>
    <t>המציע ימלא הצעותיו בתוך הטבלאות</t>
  </si>
  <si>
    <t>220 ימים</t>
  </si>
  <si>
    <t>למילוי על ידי הרשות המזמינה</t>
  </si>
  <si>
    <t>למילוי על ידי הקבלן</t>
  </si>
  <si>
    <t>מס'</t>
  </si>
  <si>
    <t>מסלול הנסיעה</t>
  </si>
  <si>
    <t xml:space="preserve">סוג הרכב </t>
  </si>
  <si>
    <t>כמות מוסעים</t>
  </si>
  <si>
    <t>שעת איסוף**</t>
  </si>
  <si>
    <t>שעת פיזור**</t>
  </si>
  <si>
    <t>אורך המסלול</t>
  </si>
  <si>
    <t>ימים בשבוע</t>
  </si>
  <si>
    <t>כמות רכבים</t>
  </si>
  <si>
    <t xml:space="preserve">מחיר מירבי  לכיוון </t>
  </si>
  <si>
    <t xml:space="preserve">מחיר לכלי רכב מוצע לכיוון * </t>
  </si>
  <si>
    <t>הערות</t>
  </si>
  <si>
    <t xml:space="preserve">אומדן שנתי לצורך הערבות </t>
  </si>
  <si>
    <t xml:space="preserve">כפר תבור </t>
  </si>
  <si>
    <t>יסודי רבין</t>
  </si>
  <si>
    <t>אוטובוס</t>
  </si>
  <si>
    <t>לפי הגעה</t>
  </si>
  <si>
    <t>שונות</t>
  </si>
  <si>
    <t xml:space="preserve">   1ק"מ</t>
  </si>
  <si>
    <t>א-ה</t>
  </si>
  <si>
    <t>5 פיז ור</t>
  </si>
  <si>
    <t>חקלאי כדורי</t>
  </si>
  <si>
    <t xml:space="preserve">   4ק"מ</t>
  </si>
  <si>
    <t>א-ו</t>
  </si>
  <si>
    <t>פיזור 11</t>
  </si>
  <si>
    <t>יד ששון + בית חינוך + שירת הגליל</t>
  </si>
  <si>
    <t xml:space="preserve">   15ק"מ</t>
  </si>
  <si>
    <t>אולפנית + ישיבה טבריה</t>
  </si>
  <si>
    <t>מיניבוס</t>
  </si>
  <si>
    <t xml:space="preserve">   25ק"מ</t>
  </si>
  <si>
    <t>גן שדה אילן</t>
  </si>
  <si>
    <t>א.צ.ז 14</t>
  </si>
  <si>
    <t xml:space="preserve">   10ק"מ</t>
  </si>
  <si>
    <t>ימיה עמק הירדן</t>
  </si>
  <si>
    <t>א+פ</t>
  </si>
  <si>
    <t>ימים-2</t>
  </si>
  <si>
    <t>מחוננים צמח</t>
  </si>
  <si>
    <t>ימים-4</t>
  </si>
  <si>
    <t xml:space="preserve">בתוך הכפר - סיפריה/ אולם מופעים/ שבילי איציק </t>
  </si>
  <si>
    <t>300*</t>
  </si>
  <si>
    <t>260*</t>
  </si>
  <si>
    <t>ימים-1</t>
  </si>
  <si>
    <t>*מחיר א+פ</t>
  </si>
  <si>
    <t>חתימת וחותמת גזבר הרשות: ______________</t>
  </si>
  <si>
    <t>שם החברה: ______________</t>
  </si>
  <si>
    <t xml:space="preserve">תאריך: ___________              </t>
  </si>
  <si>
    <t xml:space="preserve">                          חתימה וחותמת החברה: ____________</t>
  </si>
  <si>
    <t>המחירים המוצעים יהיו כולם לכיוון אחד וללא מע"מ למעט מ"ס 8,9</t>
  </si>
  <si>
    <t>ערבות נדרשת</t>
  </si>
  <si>
    <t>המחירים המוצעים יהיו כולם לכיוון אחד וללא מע"מ</t>
  </si>
  <si>
    <t>חינוך מיוחד</t>
  </si>
  <si>
    <t xml:space="preserve"> ימים</t>
  </si>
  <si>
    <t>ב,ג,ד</t>
  </si>
  <si>
    <t>שעות איסוף ופיזור</t>
  </si>
  <si>
    <t>א/פ/ א+פ</t>
  </si>
  <si>
    <t>כמות תלמידים</t>
  </si>
  <si>
    <t>כפר תבור</t>
  </si>
  <si>
    <t>זיו צפת</t>
  </si>
  <si>
    <t>מונית</t>
  </si>
  <si>
    <t>א</t>
  </si>
  <si>
    <t>פ</t>
  </si>
  <si>
    <t>סיפי ומעיין עפולה</t>
  </si>
  <si>
    <t>מעלון</t>
  </si>
  <si>
    <t>סיפי</t>
  </si>
  <si>
    <t>מעיין</t>
  </si>
  <si>
    <t>פ2</t>
  </si>
  <si>
    <t>יסודי כדורי/רוטמן/חקלאי</t>
  </si>
  <si>
    <t>יסודי כדורי</t>
  </si>
  <si>
    <t>פ1</t>
  </si>
  <si>
    <t>חקלאי</t>
  </si>
  <si>
    <t>רוטמן</t>
  </si>
  <si>
    <t>פ3</t>
  </si>
  <si>
    <t>חדש</t>
  </si>
  <si>
    <t>כ. כמא, שד. דבורה, כ.תבור</t>
  </si>
  <si>
    <t>שדה אילן גן אלה, עלי גבעה   וגן תבור כפר חיטים</t>
  </si>
  <si>
    <t>חיוב כ.כמא</t>
  </si>
  <si>
    <t>עלי גבעה גבעת אבני</t>
  </si>
  <si>
    <t>גן אלה בשדה אילן</t>
  </si>
  <si>
    <t>גן תבור בכפר חיטים</t>
  </si>
  <si>
    <t>אצז</t>
  </si>
  <si>
    <t>כרמים וכישורית</t>
  </si>
  <si>
    <t>בגד</t>
  </si>
  <si>
    <t>אלביק כפר כנא</t>
  </si>
  <si>
    <t>עמק יפה</t>
  </si>
  <si>
    <t>אורט מעלה טבריה</t>
  </si>
  <si>
    <t>מכללת כנרת</t>
  </si>
  <si>
    <t>אופציונלי</t>
  </si>
  <si>
    <t>מרכז אלון</t>
  </si>
  <si>
    <t>כפר תבור ושרונה</t>
  </si>
  <si>
    <t>העמק מזרע</t>
  </si>
  <si>
    <t>3 ג.תחתון</t>
  </si>
  <si>
    <t>דקלים - טבריה</t>
  </si>
  <si>
    <t>אולפנת גלעד-חמדיה</t>
  </si>
  <si>
    <t>קישון</t>
  </si>
  <si>
    <t>ביצוע ג.תחתון</t>
  </si>
  <si>
    <t>עמק החולה</t>
  </si>
  <si>
    <t>גאון הירדן</t>
  </si>
  <si>
    <t>שחף</t>
  </si>
  <si>
    <t>*</t>
  </si>
  <si>
    <t xml:space="preserve">הקבלן יציין בהצעתו מחיר עבור כיוון אחד בלבד, ככל ויידרש לבצע הסעות לשני הכיוונים,  </t>
  </si>
  <si>
    <t>המחיר עבור שני הכיוונים יהיה מכפלת הסכום המוצע על-ידו לכיוון אחד בשתיים.</t>
  </si>
  <si>
    <t>בחינוך המיוחד-הצעת המחיר לא תכלול את עלות המלווה במסלולים הנדרשים. ראה נספח למכרז</t>
  </si>
  <si>
    <t>**</t>
  </si>
  <si>
    <r>
      <t xml:space="preserve">שעת איסוף ושעת פיזור - </t>
    </r>
    <r>
      <rPr>
        <b/>
        <u/>
        <sz val="12"/>
        <color indexed="8"/>
        <rFont val="David"/>
        <family val="2"/>
        <charset val="177"/>
      </rPr>
      <t>ניתנות לשינו</t>
    </r>
    <r>
      <rPr>
        <sz val="12"/>
        <color indexed="8"/>
        <rFont val="David"/>
        <family val="2"/>
        <charset val="177"/>
      </rPr>
      <t>י - בהתאם למערכת השעות בביה"ס. יש לבדוק מול מח' החינוך שעות מדויקות</t>
    </r>
  </si>
  <si>
    <t xml:space="preserve">מובהר בזה כי לא ניתן להתנות את ההצעה בזכיה במספר מסלולים ומספר מינימלי של מסלולים. </t>
  </si>
  <si>
    <t>***</t>
  </si>
  <si>
    <t>שעות ליווי</t>
  </si>
  <si>
    <t>רימונים עפולה</t>
  </si>
  <si>
    <r>
      <t>שעות ליווי יחושבו לפי מינימום-</t>
    </r>
    <r>
      <rPr>
        <b/>
        <sz val="12"/>
        <color theme="1"/>
        <rFont val="David"/>
        <family val="2"/>
      </rPr>
      <t>1.5</t>
    </r>
    <r>
      <rPr>
        <sz val="12"/>
        <color theme="1"/>
        <rFont val="David"/>
        <family val="2"/>
        <charset val="177"/>
      </rPr>
      <t xml:space="preserve"> שעות לכיוון. עלות לכל שעה -</t>
    </r>
    <r>
      <rPr>
        <b/>
        <sz val="12"/>
        <color theme="1"/>
        <rFont val="David"/>
        <family val="2"/>
      </rPr>
      <t xml:space="preserve"> 50 ₪</t>
    </r>
    <r>
      <rPr>
        <sz val="12"/>
        <color theme="1"/>
        <rFont val="David"/>
        <family val="2"/>
        <charset val="177"/>
      </rPr>
      <t xml:space="preserve"> הכוללת גם תקורה למסיע.</t>
    </r>
  </si>
  <si>
    <t xml:space="preserve">המחירים המוצעים יהיו כולם לכיוון אחד וללא מע"מ </t>
  </si>
  <si>
    <t>רווחה</t>
  </si>
  <si>
    <t>240 ימים</t>
  </si>
  <si>
    <t>מ.יום "יחד בגליל"-מחניים</t>
  </si>
  <si>
    <t xml:space="preserve">   49ק"מ</t>
  </si>
  <si>
    <t>ללא ליווי</t>
  </si>
  <si>
    <t>מעון יום שיקומי טבריה</t>
  </si>
  <si>
    <t>עם ליווי</t>
  </si>
  <si>
    <t>בית עמית-עפולה</t>
  </si>
  <si>
    <t xml:space="preserve">   18ק"מ</t>
  </si>
  <si>
    <t>ערבות נדרשת ח.רגיל</t>
  </si>
  <si>
    <t>סה"כ ערבות למכרז</t>
  </si>
  <si>
    <t>בית מרים,גורדוניה,קרית חיים</t>
  </si>
  <si>
    <t xml:space="preserve">   50ק"מ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</si>
</sst>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[$-1000000]h:mm;@"/>
    <numFmt numFmtId="165" formatCode="_ * #,##0_ ;_ * \-#,##0_ ;_ * &quot;-&quot;??_ ;_ @_ "/>
    <numFmt numFmtId="166" formatCode="_ &quot;₪ &quot;* #,##0.00_ ;_ &quot;₪ &quot;* \-#,##0.00_ ;_ &quot;₪ &quot;* \-??_ ;_ @_ "/>
    <numFmt numFmtId="167" formatCode="0.0"/>
    <numFmt numFmtId="168" formatCode="_ * #,##0.00_ ;_ * \-#,##0.00_ ;_ * \-??_ ;_ @_ "/>
  </numFmts>
  <fonts count="43" x14ac:knownFonts="1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  <font>
      <b/>
      <u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52"/>
      <name val="Arial"/>
      <family val="2"/>
      <charset val="177"/>
    </font>
    <font>
      <b/>
      <sz val="11"/>
      <color indexed="9"/>
      <name val="Arial"/>
      <family val="2"/>
      <charset val="177"/>
    </font>
    <font>
      <sz val="12"/>
      <name val="Arial"/>
      <family val="2"/>
      <charset val="177"/>
    </font>
    <font>
      <sz val="10"/>
      <name val="Arial"/>
      <family val="2"/>
      <charset val="177"/>
    </font>
    <font>
      <i/>
      <sz val="11"/>
      <color indexed="23"/>
      <name val="Arial"/>
      <family val="2"/>
      <charset val="177"/>
    </font>
    <font>
      <sz val="11"/>
      <color indexed="17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u/>
      <sz val="12"/>
      <color indexed="12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indexed="60"/>
      <name val="Arial"/>
      <family val="2"/>
      <charset val="177"/>
    </font>
    <font>
      <sz val="10"/>
      <color indexed="8"/>
      <name val="Arial"/>
      <family val="2"/>
    </font>
    <font>
      <sz val="12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b/>
      <sz val="11"/>
      <color indexed="8"/>
      <name val="Arial"/>
      <family val="2"/>
      <charset val="177"/>
    </font>
    <font>
      <sz val="11"/>
      <color indexed="10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0"/>
      <name val="Arial"/>
      <family val="2"/>
    </font>
    <font>
      <b/>
      <sz val="16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2"/>
      <color indexed="8"/>
      <name val="David"/>
      <family val="2"/>
      <charset val="177"/>
    </font>
    <font>
      <sz val="12"/>
      <color indexed="8"/>
      <name val="David"/>
      <family val="2"/>
      <charset val="177"/>
    </font>
    <font>
      <b/>
      <u/>
      <sz val="12"/>
      <color theme="1"/>
      <name val="David"/>
      <family val="2"/>
      <charset val="177"/>
    </font>
    <font>
      <b/>
      <sz val="12"/>
      <color theme="1"/>
      <name val="David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1">
    <xf numFmtId="0" fontId="0" fillId="0" borderId="0"/>
    <xf numFmtId="43" fontId="1" fillId="0" borderId="0" applyFont="0" applyFill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32" applyNumberFormat="0" applyAlignment="0" applyProtection="0"/>
    <xf numFmtId="0" fontId="16" fillId="22" borderId="33" applyNumberFormat="0" applyAlignment="0" applyProtection="0"/>
    <xf numFmtId="43" fontId="12" fillId="0" borderId="0" applyFont="0" applyFill="0" applyBorder="0" applyAlignment="0" applyProtection="0"/>
    <xf numFmtId="166" fontId="17" fillId="0" borderId="0" applyFill="0" applyBorder="0" applyProtection="0">
      <alignment horizontal="right" readingOrder="1"/>
    </xf>
    <xf numFmtId="167" fontId="17" fillId="0" borderId="0" applyFill="0" applyBorder="0" applyProtection="0">
      <alignment horizontal="right" readingOrder="1"/>
    </xf>
    <xf numFmtId="168" fontId="12" fillId="0" borderId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" fillId="0" borderId="0"/>
    <xf numFmtId="167" fontId="1" fillId="0" borderId="0" applyFill="0" applyBorder="0" applyAlignment="0" applyProtection="0"/>
    <xf numFmtId="166" fontId="1" fillId="0" borderId="0" applyFill="0" applyBorder="0" applyAlignment="0" applyProtection="0"/>
    <xf numFmtId="0" fontId="18" fillId="0" borderId="0"/>
    <xf numFmtId="9" fontId="18" fillId="0" borderId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34" applyNumberFormat="0" applyFill="0" applyAlignment="0" applyProtection="0"/>
    <xf numFmtId="0" fontId="22" fillId="0" borderId="35" applyNumberFormat="0" applyFill="0" applyAlignment="0" applyProtection="0"/>
    <xf numFmtId="0" fontId="23" fillId="0" borderId="3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Protection="0">
      <alignment horizontal="right" readingOrder="1"/>
    </xf>
    <xf numFmtId="0" fontId="25" fillId="8" borderId="32" applyNumberFormat="0" applyAlignment="0" applyProtection="0"/>
    <xf numFmtId="0" fontId="26" fillId="0" borderId="37" applyNumberFormat="0" applyFill="0" applyAlignment="0" applyProtection="0"/>
    <xf numFmtId="0" fontId="27" fillId="23" borderId="0" applyNumberFormat="0" applyBorder="0" applyAlignment="0" applyProtection="0"/>
    <xf numFmtId="0" fontId="28" fillId="0" borderId="0"/>
    <xf numFmtId="0" fontId="1" fillId="0" borderId="0"/>
    <xf numFmtId="0" fontId="12" fillId="0" borderId="0"/>
    <xf numFmtId="0" fontId="29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24" borderId="38" applyNumberFormat="0" applyFont="0" applyAlignment="0" applyProtection="0"/>
    <xf numFmtId="0" fontId="30" fillId="21" borderId="39" applyNumberFormat="0" applyAlignment="0" applyProtection="0"/>
    <xf numFmtId="9" fontId="11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ill="0" applyBorder="0" applyAlignment="0" applyProtection="0"/>
    <xf numFmtId="9" fontId="1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40" applyNumberFormat="0" applyFill="0" applyAlignment="0" applyProtection="0"/>
    <xf numFmtId="0" fontId="33" fillId="0" borderId="0" applyNumberFormat="0" applyFill="0" applyBorder="0" applyAlignment="0" applyProtection="0"/>
    <xf numFmtId="0" fontId="21" fillId="0" borderId="34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1" fillId="0" borderId="34" applyNumberFormat="0" applyFill="0" applyAlignment="0" applyProtection="0"/>
    <xf numFmtId="0" fontId="31" fillId="0" borderId="0" applyNumberFormat="0" applyFill="0" applyBorder="0" applyAlignment="0" applyProtection="0"/>
    <xf numFmtId="0" fontId="21" fillId="0" borderId="34" applyNumberFormat="0" applyFill="0" applyAlignment="0" applyProtection="0"/>
    <xf numFmtId="0" fontId="21" fillId="0" borderId="34" applyNumberFormat="0" applyFill="0" applyProtection="0">
      <alignment horizontal="right" readingOrder="1"/>
    </xf>
    <xf numFmtId="0" fontId="34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14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4" xfId="0" applyFont="1" applyBorder="1" applyAlignment="1">
      <alignment horizontal="center"/>
    </xf>
    <xf numFmtId="0" fontId="8" fillId="0" borderId="0" xfId="0" applyFont="1"/>
    <xf numFmtId="0" fontId="9" fillId="0" borderId="5" xfId="0" applyFont="1" applyBorder="1" applyAlignment="1">
      <alignment wrapText="1" readingOrder="2"/>
    </xf>
    <xf numFmtId="0" fontId="9" fillId="0" borderId="6" xfId="0" applyFont="1" applyBorder="1" applyAlignment="1">
      <alignment horizontal="right" wrapText="1" readingOrder="2"/>
    </xf>
    <xf numFmtId="0" fontId="9" fillId="0" borderId="5" xfId="0" applyFont="1" applyBorder="1" applyAlignment="1">
      <alignment horizontal="right" wrapText="1" readingOrder="2"/>
    </xf>
    <xf numFmtId="0" fontId="9" fillId="0" borderId="7" xfId="0" applyFont="1" applyBorder="1" applyAlignment="1">
      <alignment horizontal="right" wrapText="1" readingOrder="2"/>
    </xf>
    <xf numFmtId="0" fontId="4" fillId="0" borderId="5" xfId="0" applyFont="1" applyBorder="1" applyAlignment="1">
      <alignment horizontal="right" wrapText="1" readingOrder="2"/>
    </xf>
    <xf numFmtId="0" fontId="9" fillId="0" borderId="5" xfId="0" applyFont="1" applyBorder="1" applyAlignment="1">
      <alignment horizontal="center" wrapText="1" readingOrder="2"/>
    </xf>
    <xf numFmtId="0" fontId="9" fillId="0" borderId="8" xfId="0" applyFont="1" applyBorder="1" applyAlignment="1">
      <alignment horizontal="center" wrapText="1" readingOrder="2"/>
    </xf>
    <xf numFmtId="0" fontId="4" fillId="0" borderId="5" xfId="0" applyFont="1" applyBorder="1" applyAlignment="1">
      <alignment horizontal="center" wrapText="1" readingOrder="2"/>
    </xf>
    <xf numFmtId="0" fontId="0" fillId="0" borderId="9" xfId="0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164" fontId="11" fillId="0" borderId="13" xfId="0" applyNumberFormat="1" applyFont="1" applyBorder="1"/>
    <xf numFmtId="0" fontId="11" fillId="0" borderId="10" xfId="0" applyFont="1" applyBorder="1" applyAlignment="1">
      <alignment horizontal="center"/>
    </xf>
    <xf numFmtId="0" fontId="11" fillId="0" borderId="14" xfId="0" applyFont="1" applyBorder="1"/>
    <xf numFmtId="165" fontId="11" fillId="0" borderId="12" xfId="1" applyNumberFormat="1" applyFont="1" applyBorder="1"/>
    <xf numFmtId="0" fontId="0" fillId="0" borderId="15" xfId="0" applyBorder="1"/>
    <xf numFmtId="0" fontId="11" fillId="0" borderId="16" xfId="0" applyFont="1" applyBorder="1"/>
    <xf numFmtId="0" fontId="11" fillId="0" borderId="17" xfId="0" applyFont="1" applyBorder="1"/>
    <xf numFmtId="0" fontId="11" fillId="0" borderId="18" xfId="0" applyFont="1" applyBorder="1"/>
    <xf numFmtId="164" fontId="11" fillId="0" borderId="19" xfId="0" applyNumberFormat="1" applyFont="1" applyBorder="1"/>
    <xf numFmtId="0" fontId="11" fillId="0" borderId="16" xfId="0" applyFont="1" applyBorder="1" applyAlignment="1">
      <alignment horizontal="center"/>
    </xf>
    <xf numFmtId="0" fontId="11" fillId="0" borderId="20" xfId="0" applyFont="1" applyBorder="1"/>
    <xf numFmtId="165" fontId="11" fillId="0" borderId="18" xfId="1" applyNumberFormat="1" applyFont="1" applyBorder="1"/>
    <xf numFmtId="0" fontId="11" fillId="0" borderId="21" xfId="0" applyFont="1" applyBorder="1"/>
    <xf numFmtId="0" fontId="11" fillId="0" borderId="22" xfId="0" applyFont="1" applyBorder="1"/>
    <xf numFmtId="0" fontId="11" fillId="0" borderId="23" xfId="0" applyFont="1" applyBorder="1"/>
    <xf numFmtId="164" fontId="11" fillId="0" borderId="24" xfId="0" applyNumberFormat="1" applyFont="1" applyBorder="1"/>
    <xf numFmtId="0" fontId="11" fillId="0" borderId="21" xfId="0" applyFont="1" applyBorder="1" applyAlignment="1">
      <alignment horizontal="center"/>
    </xf>
    <xf numFmtId="0" fontId="11" fillId="0" borderId="25" xfId="0" applyFont="1" applyBorder="1"/>
    <xf numFmtId="165" fontId="11" fillId="0" borderId="23" xfId="1" applyNumberFormat="1" applyFont="1" applyBorder="1"/>
    <xf numFmtId="0" fontId="1" fillId="0" borderId="0" xfId="0" applyFont="1" applyAlignment="1">
      <alignment horizontal="right"/>
    </xf>
    <xf numFmtId="0" fontId="11" fillId="0" borderId="10" xfId="0" applyFont="1" applyBorder="1" applyAlignment="1">
      <alignment wrapText="1"/>
    </xf>
    <xf numFmtId="0" fontId="0" fillId="0" borderId="26" xfId="0" applyBorder="1"/>
    <xf numFmtId="0" fontId="11" fillId="0" borderId="27" xfId="0" applyFont="1" applyBorder="1"/>
    <xf numFmtId="0" fontId="11" fillId="0" borderId="27" xfId="0" applyFont="1" applyBorder="1" applyAlignment="1">
      <alignment wrapText="1"/>
    </xf>
    <xf numFmtId="0" fontId="11" fillId="0" borderId="28" xfId="0" applyFont="1" applyBorder="1"/>
    <xf numFmtId="0" fontId="11" fillId="0" borderId="29" xfId="0" applyFont="1" applyBorder="1"/>
    <xf numFmtId="164" fontId="11" fillId="0" borderId="30" xfId="0" applyNumberFormat="1" applyFont="1" applyBorder="1"/>
    <xf numFmtId="164" fontId="0" fillId="0" borderId="0" xfId="0" applyNumberFormat="1"/>
    <xf numFmtId="165" fontId="10" fillId="0" borderId="31" xfId="0" applyNumberFormat="1" applyFont="1" applyBorder="1"/>
    <xf numFmtId="0" fontId="11" fillId="0" borderId="13" xfId="0" applyFont="1" applyBorder="1"/>
    <xf numFmtId="0" fontId="11" fillId="0" borderId="19" xfId="0" applyFont="1" applyBorder="1"/>
    <xf numFmtId="0" fontId="11" fillId="0" borderId="24" xfId="0" applyFont="1" applyBorder="1"/>
    <xf numFmtId="0" fontId="11" fillId="0" borderId="30" xfId="0" applyFont="1" applyBorder="1"/>
    <xf numFmtId="0" fontId="0" fillId="0" borderId="12" xfId="0" applyBorder="1"/>
    <xf numFmtId="0" fontId="0" fillId="0" borderId="18" xfId="0" applyBorder="1"/>
    <xf numFmtId="0" fontId="0" fillId="0" borderId="23" xfId="0" applyBorder="1"/>
    <xf numFmtId="0" fontId="0" fillId="0" borderId="29" xfId="0" applyBorder="1"/>
    <xf numFmtId="0" fontId="35" fillId="2" borderId="4" xfId="0" applyFont="1" applyFill="1" applyBorder="1" applyAlignment="1">
      <alignment horizontal="center" vertical="center" wrapText="1"/>
    </xf>
    <xf numFmtId="165" fontId="9" fillId="2" borderId="3" xfId="1" applyNumberFormat="1" applyFont="1" applyFill="1" applyBorder="1" applyAlignment="1">
      <alignment vertical="center"/>
    </xf>
    <xf numFmtId="165" fontId="11" fillId="0" borderId="41" xfId="1" applyNumberFormat="1" applyFont="1" applyBorder="1"/>
    <xf numFmtId="165" fontId="11" fillId="0" borderId="42" xfId="1" applyNumberFormat="1" applyFont="1" applyBorder="1"/>
    <xf numFmtId="0" fontId="1" fillId="0" borderId="0" xfId="0" applyFont="1"/>
    <xf numFmtId="0" fontId="8" fillId="0" borderId="5" xfId="0" applyFont="1" applyBorder="1" applyAlignment="1">
      <alignment horizontal="center"/>
    </xf>
    <xf numFmtId="1" fontId="0" fillId="0" borderId="0" xfId="0" applyNumberFormat="1"/>
    <xf numFmtId="0" fontId="8" fillId="0" borderId="31" xfId="0" applyFont="1" applyBorder="1" applyAlignment="1">
      <alignment horizontal="center"/>
    </xf>
    <xf numFmtId="0" fontId="9" fillId="0" borderId="8" xfId="0" applyFont="1" applyBorder="1" applyAlignment="1">
      <alignment wrapText="1" readingOrder="2"/>
    </xf>
    <xf numFmtId="0" fontId="0" fillId="0" borderId="13" xfId="0" applyBorder="1"/>
    <xf numFmtId="164" fontId="11" fillId="0" borderId="10" xfId="0" applyNumberFormat="1" applyFont="1" applyBorder="1"/>
    <xf numFmtId="0" fontId="11" fillId="0" borderId="41" xfId="0" applyFont="1" applyBorder="1"/>
    <xf numFmtId="0" fontId="1" fillId="0" borderId="0" xfId="0" applyFont="1" applyAlignment="1">
      <alignment horizontal="center"/>
    </xf>
    <xf numFmtId="0" fontId="0" fillId="0" borderId="19" xfId="0" applyBorder="1"/>
    <xf numFmtId="164" fontId="11" fillId="0" borderId="16" xfId="0" applyNumberFormat="1" applyFont="1" applyBorder="1"/>
    <xf numFmtId="0" fontId="11" fillId="0" borderId="43" xfId="0" applyFont="1" applyBorder="1"/>
    <xf numFmtId="0" fontId="11" fillId="0" borderId="16" xfId="0" applyFont="1" applyBorder="1" applyAlignment="1">
      <alignment wrapText="1"/>
    </xf>
    <xf numFmtId="0" fontId="1" fillId="0" borderId="19" xfId="0" applyFont="1" applyBorder="1"/>
    <xf numFmtId="0" fontId="0" fillId="0" borderId="30" xfId="0" applyBorder="1"/>
    <xf numFmtId="164" fontId="11" fillId="0" borderId="27" xfId="0" applyNumberFormat="1" applyFont="1" applyBorder="1"/>
    <xf numFmtId="0" fontId="11" fillId="0" borderId="27" xfId="0" applyFont="1" applyBorder="1" applyAlignment="1">
      <alignment horizontal="center"/>
    </xf>
    <xf numFmtId="0" fontId="11" fillId="0" borderId="42" xfId="0" applyFont="1" applyBorder="1"/>
    <xf numFmtId="165" fontId="10" fillId="0" borderId="4" xfId="1" applyNumberFormat="1" applyFont="1" applyBorder="1"/>
    <xf numFmtId="0" fontId="4" fillId="0" borderId="0" xfId="0" applyFont="1"/>
    <xf numFmtId="0" fontId="37" fillId="0" borderId="0" xfId="0" applyFont="1" applyAlignment="1">
      <alignment horizontal="right" vertical="center" readingOrder="2"/>
    </xf>
    <xf numFmtId="165" fontId="8" fillId="0" borderId="0" xfId="1" applyNumberFormat="1" applyFont="1" applyAlignment="1"/>
    <xf numFmtId="0" fontId="37" fillId="2" borderId="0" xfId="0" applyFont="1" applyFill="1" applyAlignment="1">
      <alignment horizontal="right" vertical="center" readingOrder="2"/>
    </xf>
    <xf numFmtId="0" fontId="38" fillId="0" borderId="0" xfId="0" applyFont="1" applyAlignment="1">
      <alignment horizontal="right" vertical="center" readingOrder="2"/>
    </xf>
    <xf numFmtId="0" fontId="41" fillId="0" borderId="0" xfId="0" applyFont="1" applyAlignment="1">
      <alignment horizontal="right" vertical="center" readingOrder="2"/>
    </xf>
    <xf numFmtId="0" fontId="35" fillId="0" borderId="0" xfId="0" applyFont="1"/>
    <xf numFmtId="0" fontId="11" fillId="0" borderId="44" xfId="0" applyFont="1" applyBorder="1"/>
    <xf numFmtId="165" fontId="11" fillId="0" borderId="29" xfId="1" applyNumberFormat="1" applyFont="1" applyBorder="1"/>
    <xf numFmtId="165" fontId="0" fillId="0" borderId="0" xfId="1" applyNumberFormat="1" applyFont="1"/>
    <xf numFmtId="165" fontId="35" fillId="0" borderId="0" xfId="1" applyNumberFormat="1" applyFont="1"/>
    <xf numFmtId="165" fontId="11" fillId="0" borderId="11" xfId="1" applyNumberFormat="1" applyFont="1" applyBorder="1"/>
    <xf numFmtId="165" fontId="11" fillId="0" borderId="17" xfId="1" applyNumberFormat="1" applyFont="1" applyBorder="1"/>
    <xf numFmtId="165" fontId="11" fillId="0" borderId="28" xfId="1" applyNumberFormat="1" applyFont="1" applyBorder="1"/>
    <xf numFmtId="0" fontId="11" fillId="0" borderId="12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11" fillId="0" borderId="23" xfId="0" applyFont="1" applyBorder="1" applyProtection="1">
      <protection locked="0"/>
    </xf>
    <xf numFmtId="0" fontId="11" fillId="0" borderId="29" xfId="0" applyFont="1" applyBorder="1" applyProtection="1">
      <protection locked="0"/>
    </xf>
    <xf numFmtId="0" fontId="36" fillId="2" borderId="1" xfId="0" applyFont="1" applyFill="1" applyBorder="1" applyAlignment="1">
      <alignment horizontal="center" vertical="center" readingOrder="2"/>
    </xf>
    <xf numFmtId="0" fontId="36" fillId="2" borderId="3" xfId="0" applyFont="1" applyFill="1" applyBorder="1" applyAlignment="1">
      <alignment horizontal="center" vertical="center" readingOrder="2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 wrapText="1" readingOrder="2"/>
    </xf>
    <xf numFmtId="0" fontId="9" fillId="0" borderId="3" xfId="0" applyFont="1" applyBorder="1" applyAlignment="1">
      <alignment horizontal="center" wrapText="1" readingOrder="2"/>
    </xf>
    <xf numFmtId="0" fontId="9" fillId="0" borderId="1" xfId="0" applyFont="1" applyBorder="1" applyAlignment="1">
      <alignment horizontal="center" wrapText="1" readingOrder="2"/>
    </xf>
    <xf numFmtId="0" fontId="9" fillId="0" borderId="6" xfId="0" applyFont="1" applyBorder="1" applyAlignment="1">
      <alignment horizontal="center" wrapText="1" readingOrder="2"/>
    </xf>
    <xf numFmtId="0" fontId="9" fillId="0" borderId="7" xfId="0" applyFont="1" applyBorder="1" applyAlignment="1">
      <alignment horizontal="center" wrapText="1" readingOrder="2"/>
    </xf>
  </cellXfs>
  <cellStyles count="81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Comma" xfId="1" builtinId="3"/>
    <cellStyle name="Comma 2" xfId="29" xr:uid="{00000000-0005-0000-0000-00001C000000}"/>
    <cellStyle name="Comma 2 2" xfId="30" xr:uid="{00000000-0005-0000-0000-00001D000000}"/>
    <cellStyle name="Comma 2_ה.אבנר- אוגוסט 09" xfId="31" xr:uid="{00000000-0005-0000-0000-00001E000000}"/>
    <cellStyle name="Comma 3" xfId="32" xr:uid="{00000000-0005-0000-0000-00001F000000}"/>
    <cellStyle name="Comma 4" xfId="33" xr:uid="{00000000-0005-0000-0000-000020000000}"/>
    <cellStyle name="Comma 5" xfId="34" xr:uid="{00000000-0005-0000-0000-000021000000}"/>
    <cellStyle name="Currency 2" xfId="35" xr:uid="{00000000-0005-0000-0000-000022000000}"/>
    <cellStyle name="Currency 2 2" xfId="36" xr:uid="{00000000-0005-0000-0000-000023000000}"/>
    <cellStyle name="Currency 2_ה.אבנר- אוגוסט 09" xfId="37" xr:uid="{00000000-0005-0000-0000-000024000000}"/>
    <cellStyle name="Excel Built-in Normal" xfId="38" xr:uid="{00000000-0005-0000-0000-000025000000}"/>
    <cellStyle name="Excel Built-in Percent" xfId="39" xr:uid="{00000000-0005-0000-0000-000026000000}"/>
    <cellStyle name="Explanatory Text" xfId="40" xr:uid="{00000000-0005-0000-0000-000027000000}"/>
    <cellStyle name="Good" xfId="41" xr:uid="{00000000-0005-0000-0000-000028000000}"/>
    <cellStyle name="Heading 1" xfId="42" xr:uid="{00000000-0005-0000-0000-000029000000}"/>
    <cellStyle name="Heading 2" xfId="43" xr:uid="{00000000-0005-0000-0000-00002A000000}"/>
    <cellStyle name="Heading 3" xfId="44" xr:uid="{00000000-0005-0000-0000-00002B000000}"/>
    <cellStyle name="Heading 4" xfId="45" xr:uid="{00000000-0005-0000-0000-00002C000000}"/>
    <cellStyle name="Hyperlink 2" xfId="46" xr:uid="{00000000-0005-0000-0000-00002D000000}"/>
    <cellStyle name="Input" xfId="47" xr:uid="{00000000-0005-0000-0000-00002E000000}"/>
    <cellStyle name="Linked Cell" xfId="48" xr:uid="{00000000-0005-0000-0000-00002F000000}"/>
    <cellStyle name="Neutral" xfId="49" xr:uid="{00000000-0005-0000-0000-000030000000}"/>
    <cellStyle name="Normal" xfId="0" builtinId="0"/>
    <cellStyle name="Normal 2" xfId="50" xr:uid="{00000000-0005-0000-0000-000032000000}"/>
    <cellStyle name="Normal 2 2" xfId="51" xr:uid="{00000000-0005-0000-0000-000033000000}"/>
    <cellStyle name="Normal 2 3" xfId="52" xr:uid="{00000000-0005-0000-0000-000034000000}"/>
    <cellStyle name="Normal 2_ניתוח מחלקת תחבורה 2010 גליל תחתון" xfId="53" xr:uid="{00000000-0005-0000-0000-000035000000}"/>
    <cellStyle name="Normal 3" xfId="54" xr:uid="{00000000-0005-0000-0000-000036000000}"/>
    <cellStyle name="Normal 4" xfId="55" xr:uid="{00000000-0005-0000-0000-000037000000}"/>
    <cellStyle name="Normal 5" xfId="56" xr:uid="{00000000-0005-0000-0000-000038000000}"/>
    <cellStyle name="Normal 6" xfId="57" xr:uid="{00000000-0005-0000-0000-000039000000}"/>
    <cellStyle name="Normal 6 2" xfId="58" xr:uid="{00000000-0005-0000-0000-00003A000000}"/>
    <cellStyle name="Normal 6_ניתוח מחלקת תחבורה 2010 גליל תחתון" xfId="59" xr:uid="{00000000-0005-0000-0000-00003B000000}"/>
    <cellStyle name="Normal 7" xfId="60" xr:uid="{00000000-0005-0000-0000-00003C000000}"/>
    <cellStyle name="Note" xfId="61" xr:uid="{00000000-0005-0000-0000-00003D000000}"/>
    <cellStyle name="Output" xfId="62" xr:uid="{00000000-0005-0000-0000-00003E000000}"/>
    <cellStyle name="Percent 2" xfId="63" xr:uid="{00000000-0005-0000-0000-00003F000000}"/>
    <cellStyle name="Percent 2 2" xfId="64" xr:uid="{00000000-0005-0000-0000-000040000000}"/>
    <cellStyle name="Percent 2_ה.אבנר- אוגוסט 09" xfId="65" xr:uid="{00000000-0005-0000-0000-000041000000}"/>
    <cellStyle name="Percent 3" xfId="66" xr:uid="{00000000-0005-0000-0000-000042000000}"/>
    <cellStyle name="Percent 4" xfId="67" xr:uid="{00000000-0005-0000-0000-000043000000}"/>
    <cellStyle name="Percent 5" xfId="68" xr:uid="{00000000-0005-0000-0000-000044000000}"/>
    <cellStyle name="Title" xfId="69" xr:uid="{00000000-0005-0000-0000-000045000000}"/>
    <cellStyle name="Total" xfId="70" xr:uid="{00000000-0005-0000-0000-000046000000}"/>
    <cellStyle name="Warning Text" xfId="71" xr:uid="{00000000-0005-0000-0000-000047000000}"/>
    <cellStyle name="כותרת 1 1" xfId="72" xr:uid="{00000000-0005-0000-0000-000048000000}"/>
    <cellStyle name="כותרת 1 1 1" xfId="73" xr:uid="{00000000-0005-0000-0000-000049000000}"/>
    <cellStyle name="כותרת 1 1 1 1" xfId="74" xr:uid="{00000000-0005-0000-0000-00004A000000}"/>
    <cellStyle name="כותרת 1 1 1 1 1" xfId="75" xr:uid="{00000000-0005-0000-0000-00004B000000}"/>
    <cellStyle name="כותרת 1 1 1 1 1 1" xfId="76" xr:uid="{00000000-0005-0000-0000-00004C000000}"/>
    <cellStyle name="כותרת 1 1 1 1 1_טבלת ריכוז אישורי חשבון לחודש" xfId="77" xr:uid="{00000000-0005-0000-0000-00004D000000}"/>
    <cellStyle name="כותרת 1 1 1 1_בוסתן אל מרג- הסעות ממיתר7.12-תשעא ותשעב" xfId="78" xr:uid="{00000000-0005-0000-0000-00004E000000}"/>
    <cellStyle name="כותרת 1 1 1_ה.אבנר- אוגוסט 09" xfId="79" xr:uid="{00000000-0005-0000-0000-00004F000000}"/>
    <cellStyle name="כותרת 1 1_בוסתן אל מרג- הסעות ממיתר7.12-תשעא ותשעב" xfId="80" xr:uid="{00000000-0005-0000-0000-00005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490;&#1497;&#1500;&#1497;&#1493;&#1503;%20&#1506;&#1489;&#1493;&#1491;&#1492;%20&#1489;-%20F:%20&#1489;&#1493;&#1505;&#1514;&#1503;%20&#1488;&#1500;%20&#1502;&#1512;&#1490;%20&#1492;&#1505;&#1506;&#1493;&#1514;%20&#1489;&#1493;&#1505;&#1514;&#1503;%20&#1488;&#1500;%20&#1502;&#1512;&#1490;-&#1492;&#1505;&#1506;&#1493;&#1514;-&#1504;&#1497;&#1514;&#1493;&#1495;%20&#1492;&#1505;&#1506;&#1493;&#1514;%20&#1514;&#1513;&#1506;&#1488;-&#1502;&#1500;&#1500;.d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rightToLeft="1" workbookViewId="0">
      <selection activeCell="L7" sqref="L7"/>
    </sheetView>
  </sheetViews>
  <sheetFormatPr defaultRowHeight="12.75" x14ac:dyDescent="0.2"/>
  <cols>
    <col min="2" max="2" width="5.140625" customWidth="1"/>
    <col min="3" max="3" width="11" customWidth="1"/>
    <col min="4" max="4" width="31.85546875" customWidth="1"/>
    <col min="5" max="5" width="8.85546875" customWidth="1"/>
    <col min="6" max="6" width="8" customWidth="1"/>
    <col min="7" max="7" width="9.42578125" customWidth="1"/>
    <col min="8" max="8" width="7.42578125" customWidth="1"/>
    <col min="10" max="10" width="7.5703125" customWidth="1"/>
    <col min="11" max="11" width="6.42578125" customWidth="1"/>
    <col min="12" max="12" width="7.5703125" customWidth="1"/>
    <col min="13" max="13" width="10.85546875" customWidth="1"/>
    <col min="15" max="15" width="13.85546875" customWidth="1"/>
    <col min="16" max="16" width="3.85546875" customWidth="1"/>
  </cols>
  <sheetData>
    <row r="1" spans="1:16" ht="36" customHeight="1" thickBot="1" x14ac:dyDescent="0.3">
      <c r="B1" s="1">
        <v>1</v>
      </c>
      <c r="D1" s="2" t="s">
        <v>0</v>
      </c>
      <c r="J1" s="100" t="s">
        <v>54</v>
      </c>
      <c r="K1" s="101"/>
      <c r="L1" s="101"/>
      <c r="M1" s="101"/>
      <c r="N1" s="102"/>
      <c r="O1" s="3">
        <f ca="1">TODAY()</f>
        <v>45452</v>
      </c>
    </row>
    <row r="2" spans="1:16" ht="15.75" thickBot="1" x14ac:dyDescent="0.3">
      <c r="B2" s="4" t="s">
        <v>1</v>
      </c>
      <c r="D2" s="5" t="s">
        <v>2</v>
      </c>
      <c r="J2" s="103" t="s">
        <v>3</v>
      </c>
      <c r="K2" s="104"/>
      <c r="L2" s="104"/>
      <c r="M2" s="104"/>
      <c r="N2" s="105"/>
      <c r="O2" s="6" t="s">
        <v>4</v>
      </c>
    </row>
    <row r="3" spans="1:16" ht="23.25" customHeight="1" thickBot="1" x14ac:dyDescent="0.25">
      <c r="A3" s="7"/>
      <c r="B3" s="106" t="s">
        <v>5</v>
      </c>
      <c r="C3" s="107"/>
      <c r="D3" s="107"/>
      <c r="E3" s="107"/>
      <c r="F3" s="107"/>
      <c r="G3" s="107"/>
      <c r="H3" s="107"/>
      <c r="I3" s="107"/>
      <c r="J3" s="107"/>
      <c r="K3" s="107"/>
      <c r="L3" s="108"/>
      <c r="M3" s="109" t="s">
        <v>6</v>
      </c>
      <c r="N3" s="110"/>
    </row>
    <row r="4" spans="1:16" ht="48.75" customHeight="1" thickBot="1" x14ac:dyDescent="0.3">
      <c r="A4" s="7"/>
      <c r="B4" s="8" t="s">
        <v>7</v>
      </c>
      <c r="C4" s="111" t="s">
        <v>8</v>
      </c>
      <c r="D4" s="112"/>
      <c r="E4" s="9" t="s">
        <v>9</v>
      </c>
      <c r="F4" s="10" t="s">
        <v>10</v>
      </c>
      <c r="G4" s="11" t="s">
        <v>11</v>
      </c>
      <c r="H4" s="10" t="s">
        <v>12</v>
      </c>
      <c r="I4" s="10" t="s">
        <v>13</v>
      </c>
      <c r="J4" s="10" t="s">
        <v>14</v>
      </c>
      <c r="K4" s="12" t="s">
        <v>15</v>
      </c>
      <c r="L4" s="9" t="s">
        <v>16</v>
      </c>
      <c r="M4" s="13" t="s">
        <v>17</v>
      </c>
      <c r="N4" s="14" t="s">
        <v>18</v>
      </c>
      <c r="O4" s="15" t="s">
        <v>19</v>
      </c>
    </row>
    <row r="5" spans="1:16" ht="20.100000000000001" customHeight="1" x14ac:dyDescent="0.2">
      <c r="B5" s="53">
        <v>1</v>
      </c>
      <c r="C5" s="49" t="s">
        <v>20</v>
      </c>
      <c r="D5" s="17" t="s">
        <v>21</v>
      </c>
      <c r="E5" s="18" t="s">
        <v>22</v>
      </c>
      <c r="F5" s="19"/>
      <c r="G5" s="20" t="s">
        <v>23</v>
      </c>
      <c r="H5" s="17" t="s">
        <v>24</v>
      </c>
      <c r="I5" s="21" t="s">
        <v>25</v>
      </c>
      <c r="J5" s="17" t="s">
        <v>26</v>
      </c>
      <c r="K5" s="17">
        <v>4</v>
      </c>
      <c r="L5" s="18">
        <v>142</v>
      </c>
      <c r="M5" s="94"/>
      <c r="N5" s="22" t="s">
        <v>27</v>
      </c>
      <c r="O5" s="23">
        <f>M5*K5*220*2.2*1.17</f>
        <v>0</v>
      </c>
    </row>
    <row r="6" spans="1:16" ht="20.100000000000001" customHeight="1" x14ac:dyDescent="0.2">
      <c r="B6" s="54">
        <v>2</v>
      </c>
      <c r="C6" s="50" t="s">
        <v>20</v>
      </c>
      <c r="D6" s="25" t="s">
        <v>28</v>
      </c>
      <c r="E6" s="26" t="s">
        <v>22</v>
      </c>
      <c r="F6" s="27">
        <v>450</v>
      </c>
      <c r="G6" s="28" t="s">
        <v>23</v>
      </c>
      <c r="H6" s="25" t="s">
        <v>24</v>
      </c>
      <c r="I6" s="29" t="s">
        <v>29</v>
      </c>
      <c r="J6" s="25" t="s">
        <v>30</v>
      </c>
      <c r="K6" s="25">
        <v>11</v>
      </c>
      <c r="L6" s="26">
        <v>110</v>
      </c>
      <c r="M6" s="95"/>
      <c r="N6" s="30" t="s">
        <v>31</v>
      </c>
      <c r="O6" s="31">
        <f>M6*K6*220*2*1.17</f>
        <v>0</v>
      </c>
    </row>
    <row r="7" spans="1:16" ht="20.100000000000001" customHeight="1" x14ac:dyDescent="0.2">
      <c r="B7" s="54">
        <v>3</v>
      </c>
      <c r="C7" s="50" t="s">
        <v>20</v>
      </c>
      <c r="D7" s="25" t="s">
        <v>32</v>
      </c>
      <c r="E7" s="26" t="s">
        <v>22</v>
      </c>
      <c r="F7" s="27">
        <f>52+18+6</f>
        <v>76</v>
      </c>
      <c r="G7" s="28" t="s">
        <v>23</v>
      </c>
      <c r="H7" s="25" t="s">
        <v>24</v>
      </c>
      <c r="I7" s="29" t="s">
        <v>33</v>
      </c>
      <c r="J7" s="25" t="s">
        <v>30</v>
      </c>
      <c r="K7" s="25">
        <v>2</v>
      </c>
      <c r="L7" s="26">
        <v>234</v>
      </c>
      <c r="M7" s="95"/>
      <c r="N7" s="30"/>
      <c r="O7" s="31">
        <f>M7*K7*220*2*1.17</f>
        <v>0</v>
      </c>
    </row>
    <row r="8" spans="1:16" ht="20.100000000000001" customHeight="1" x14ac:dyDescent="0.2">
      <c r="B8" s="54">
        <v>4</v>
      </c>
      <c r="C8" s="50" t="s">
        <v>20</v>
      </c>
      <c r="D8" s="25" t="s">
        <v>34</v>
      </c>
      <c r="E8" s="26" t="s">
        <v>35</v>
      </c>
      <c r="F8" s="27">
        <f>9+5</f>
        <v>14</v>
      </c>
      <c r="G8" s="28" t="s">
        <v>23</v>
      </c>
      <c r="H8" s="25" t="s">
        <v>24</v>
      </c>
      <c r="I8" s="29" t="s">
        <v>36</v>
      </c>
      <c r="J8" s="25" t="s">
        <v>30</v>
      </c>
      <c r="K8" s="25">
        <v>1</v>
      </c>
      <c r="L8" s="26">
        <v>210</v>
      </c>
      <c r="M8" s="95"/>
      <c r="N8" s="30"/>
      <c r="O8" s="31">
        <f>M8*K8*220*2*1.17</f>
        <v>0</v>
      </c>
    </row>
    <row r="9" spans="1:16" ht="20.100000000000001" customHeight="1" thickBot="1" x14ac:dyDescent="0.25">
      <c r="B9" s="55">
        <v>5</v>
      </c>
      <c r="C9" s="51" t="s">
        <v>20</v>
      </c>
      <c r="D9" s="32" t="s">
        <v>37</v>
      </c>
      <c r="E9" s="33" t="s">
        <v>38</v>
      </c>
      <c r="F9" s="34"/>
      <c r="G9" s="35" t="s">
        <v>23</v>
      </c>
      <c r="H9" s="25" t="s">
        <v>24</v>
      </c>
      <c r="I9" s="36" t="s">
        <v>39</v>
      </c>
      <c r="J9" s="32" t="s">
        <v>26</v>
      </c>
      <c r="K9" s="32">
        <v>1</v>
      </c>
      <c r="L9" s="33">
        <v>87</v>
      </c>
      <c r="M9" s="96"/>
      <c r="N9" s="37"/>
      <c r="O9" s="38">
        <f>M9*K9*220*2*1.17</f>
        <v>0</v>
      </c>
    </row>
    <row r="10" spans="1:16" ht="20.100000000000001" customHeight="1" x14ac:dyDescent="0.2">
      <c r="B10" s="53">
        <v>6</v>
      </c>
      <c r="C10" s="49" t="s">
        <v>20</v>
      </c>
      <c r="D10" s="17" t="s">
        <v>40</v>
      </c>
      <c r="E10" s="18" t="s">
        <v>22</v>
      </c>
      <c r="F10" s="19"/>
      <c r="G10" s="20" t="s">
        <v>23</v>
      </c>
      <c r="H10" s="17" t="s">
        <v>41</v>
      </c>
      <c r="I10" s="21" t="s">
        <v>36</v>
      </c>
      <c r="J10" s="17"/>
      <c r="K10" s="17">
        <v>1</v>
      </c>
      <c r="L10" s="18">
        <v>375</v>
      </c>
      <c r="M10" s="94"/>
      <c r="N10" s="22" t="s">
        <v>42</v>
      </c>
      <c r="O10" s="23">
        <f>M10*K10*45*2*1.17*2</f>
        <v>0</v>
      </c>
      <c r="P10" s="39"/>
    </row>
    <row r="11" spans="1:16" ht="20.100000000000001" customHeight="1" thickBot="1" x14ac:dyDescent="0.25">
      <c r="B11" s="55">
        <v>7</v>
      </c>
      <c r="C11" s="51" t="s">
        <v>20</v>
      </c>
      <c r="D11" s="32" t="s">
        <v>43</v>
      </c>
      <c r="E11" s="33" t="s">
        <v>35</v>
      </c>
      <c r="F11" s="34"/>
      <c r="G11" s="35" t="s">
        <v>23</v>
      </c>
      <c r="H11" s="32" t="s">
        <v>41</v>
      </c>
      <c r="I11" s="36" t="s">
        <v>36</v>
      </c>
      <c r="J11" s="32"/>
      <c r="K11" s="32">
        <v>1</v>
      </c>
      <c r="L11" s="33">
        <v>200</v>
      </c>
      <c r="M11" s="96"/>
      <c r="N11" s="37" t="s">
        <v>44</v>
      </c>
      <c r="O11" s="38">
        <f>M11*K11*45*4*1.17*2</f>
        <v>0</v>
      </c>
      <c r="P11" s="39"/>
    </row>
    <row r="12" spans="1:16" ht="30.75" customHeight="1" x14ac:dyDescent="0.2">
      <c r="B12" s="53">
        <v>8</v>
      </c>
      <c r="C12" s="49" t="s">
        <v>20</v>
      </c>
      <c r="D12" s="40" t="s">
        <v>45</v>
      </c>
      <c r="E12" s="18" t="s">
        <v>22</v>
      </c>
      <c r="F12" s="19"/>
      <c r="G12" s="20"/>
      <c r="H12" s="17" t="s">
        <v>41</v>
      </c>
      <c r="I12" s="17"/>
      <c r="J12" s="17" t="s">
        <v>30</v>
      </c>
      <c r="K12" s="17">
        <v>1</v>
      </c>
      <c r="L12" s="18" t="s">
        <v>46</v>
      </c>
      <c r="M12" s="94"/>
      <c r="N12" s="19" t="s">
        <v>42</v>
      </c>
      <c r="O12" s="59">
        <f>M12*K12*45*1.17*2</f>
        <v>0</v>
      </c>
      <c r="P12" s="39"/>
    </row>
    <row r="13" spans="1:16" ht="34.5" customHeight="1" thickBot="1" x14ac:dyDescent="0.25">
      <c r="B13" s="56">
        <v>9</v>
      </c>
      <c r="C13" s="52" t="s">
        <v>20</v>
      </c>
      <c r="D13" s="43" t="s">
        <v>45</v>
      </c>
      <c r="E13" s="44" t="s">
        <v>35</v>
      </c>
      <c r="F13" s="45"/>
      <c r="G13" s="46"/>
      <c r="H13" s="42" t="s">
        <v>41</v>
      </c>
      <c r="I13" s="42"/>
      <c r="J13" s="42"/>
      <c r="K13" s="42">
        <v>1</v>
      </c>
      <c r="L13" s="44" t="s">
        <v>47</v>
      </c>
      <c r="M13" s="97"/>
      <c r="N13" s="45" t="s">
        <v>48</v>
      </c>
      <c r="O13" s="60">
        <f>M13*K13*45*1.17*1</f>
        <v>0</v>
      </c>
      <c r="P13" s="39"/>
    </row>
    <row r="14" spans="1:16" ht="25.5" customHeight="1" thickBot="1" x14ac:dyDescent="0.3">
      <c r="F14">
        <f>SUM(F6:F13)</f>
        <v>540</v>
      </c>
      <c r="G14" s="47"/>
      <c r="L14" s="57" t="s">
        <v>49</v>
      </c>
      <c r="O14" s="48">
        <f>SUM(O5:O13)</f>
        <v>0</v>
      </c>
    </row>
    <row r="15" spans="1:16" ht="13.5" thickBot="1" x14ac:dyDescent="0.25"/>
    <row r="16" spans="1:16" ht="21" thickBot="1" x14ac:dyDescent="0.25">
      <c r="M16" s="98" t="s">
        <v>55</v>
      </c>
      <c r="N16" s="99"/>
      <c r="O16" s="58">
        <f>IF(O14=0,0,5000+2500*((IF(INT(O14/100000)=(O14/100000),0,1)+INT((O14-100000)/100000))))</f>
        <v>0</v>
      </c>
    </row>
    <row r="19" spans="2:12" x14ac:dyDescent="0.2">
      <c r="B19" t="s">
        <v>50</v>
      </c>
      <c r="L19" t="s">
        <v>51</v>
      </c>
    </row>
    <row r="21" spans="2:12" x14ac:dyDescent="0.2">
      <c r="B21" t="s">
        <v>52</v>
      </c>
      <c r="I21" t="s">
        <v>53</v>
      </c>
    </row>
  </sheetData>
  <sheetProtection password="C683" sheet="1" objects="1" scenarios="1"/>
  <mergeCells count="6">
    <mergeCell ref="M16:N16"/>
    <mergeCell ref="J1:N1"/>
    <mergeCell ref="J2:N2"/>
    <mergeCell ref="B3:L3"/>
    <mergeCell ref="M3:N3"/>
    <mergeCell ref="C4:D4"/>
  </mergeCells>
  <pageMargins left="0.31496062992125984" right="0.39370078740157483" top="0.74803149606299213" bottom="0.74803149606299213" header="0.31496062992125984" footer="0.31496062992125984"/>
  <pageSetup paperSize="9" scale="93" orientation="landscape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8"/>
  <sheetViews>
    <sheetView rightToLeft="1" workbookViewId="0">
      <pane ySplit="4" topLeftCell="A13" activePane="bottomLeft" state="frozen"/>
      <selection pane="bottomLeft" activeCell="T1" sqref="T1"/>
    </sheetView>
  </sheetViews>
  <sheetFormatPr defaultRowHeight="12.75" x14ac:dyDescent="0.2"/>
  <cols>
    <col min="2" max="2" width="5.140625" customWidth="1"/>
    <col min="3" max="3" width="7.85546875" customWidth="1"/>
    <col min="4" max="4" width="16.42578125" customWidth="1"/>
    <col min="5" max="5" width="23.5703125" customWidth="1"/>
    <col min="6" max="6" width="8" customWidth="1"/>
    <col min="7" max="7" width="7.42578125" customWidth="1"/>
    <col min="8" max="8" width="6.28515625" customWidth="1"/>
    <col min="9" max="9" width="6.85546875" customWidth="1"/>
    <col min="10" max="10" width="7.5703125" customWidth="1"/>
    <col min="11" max="11" width="8.28515625" customWidth="1"/>
    <col min="12" max="12" width="7.5703125" customWidth="1"/>
    <col min="13" max="13" width="10.85546875" customWidth="1"/>
    <col min="14" max="14" width="13.28515625" customWidth="1"/>
    <col min="15" max="15" width="13.85546875" customWidth="1"/>
    <col min="16" max="16" width="6.42578125" customWidth="1"/>
    <col min="18" max="18" width="9.140625" style="89"/>
  </cols>
  <sheetData>
    <row r="1" spans="1:20" ht="20.25" customHeight="1" thickBot="1" x14ac:dyDescent="0.3">
      <c r="B1" s="1">
        <v>2</v>
      </c>
      <c r="C1" s="1"/>
      <c r="E1" s="2" t="s">
        <v>0</v>
      </c>
      <c r="J1" s="103" t="s">
        <v>56</v>
      </c>
      <c r="K1" s="104"/>
      <c r="L1" s="104"/>
      <c r="M1" s="104"/>
      <c r="N1" s="105"/>
      <c r="O1" s="3">
        <f ca="1">TODAY()</f>
        <v>45452</v>
      </c>
      <c r="S1" s="61" t="s">
        <v>30</v>
      </c>
      <c r="T1">
        <v>230</v>
      </c>
    </row>
    <row r="2" spans="1:20" ht="15.75" thickBot="1" x14ac:dyDescent="0.3">
      <c r="B2" s="4" t="s">
        <v>57</v>
      </c>
      <c r="C2" s="4"/>
      <c r="E2" s="5" t="s">
        <v>2</v>
      </c>
      <c r="J2" s="103" t="s">
        <v>3</v>
      </c>
      <c r="K2" s="104"/>
      <c r="L2" s="104"/>
      <c r="M2" s="104"/>
      <c r="N2" s="105"/>
      <c r="O2" s="62" t="s">
        <v>58</v>
      </c>
      <c r="S2" s="61" t="s">
        <v>26</v>
      </c>
      <c r="T2" s="63">
        <f>O3/6*5</f>
        <v>191.66666666666669</v>
      </c>
    </row>
    <row r="3" spans="1:20" ht="21" customHeight="1" thickBot="1" x14ac:dyDescent="0.25">
      <c r="A3" s="7"/>
      <c r="B3" s="106" t="s">
        <v>5</v>
      </c>
      <c r="C3" s="107"/>
      <c r="D3" s="107"/>
      <c r="E3" s="107"/>
      <c r="F3" s="107"/>
      <c r="G3" s="107"/>
      <c r="H3" s="107"/>
      <c r="I3" s="107"/>
      <c r="J3" s="107"/>
      <c r="K3" s="107"/>
      <c r="L3" s="108"/>
      <c r="M3" s="109" t="s">
        <v>6</v>
      </c>
      <c r="N3" s="110"/>
      <c r="O3" s="64">
        <v>230</v>
      </c>
      <c r="S3" s="61" t="s">
        <v>59</v>
      </c>
      <c r="T3">
        <f>O3/2</f>
        <v>115</v>
      </c>
    </row>
    <row r="4" spans="1:20" ht="48.75" customHeight="1" thickBot="1" x14ac:dyDescent="0.3">
      <c r="A4" s="7"/>
      <c r="B4" s="8" t="s">
        <v>7</v>
      </c>
      <c r="C4" s="65"/>
      <c r="D4" s="113" t="s">
        <v>8</v>
      </c>
      <c r="E4" s="112"/>
      <c r="F4" s="10" t="s">
        <v>9</v>
      </c>
      <c r="G4" s="10" t="s">
        <v>60</v>
      </c>
      <c r="H4" s="10" t="s">
        <v>61</v>
      </c>
      <c r="I4" s="10" t="s">
        <v>113</v>
      </c>
      <c r="J4" s="10" t="s">
        <v>14</v>
      </c>
      <c r="K4" s="12" t="s">
        <v>62</v>
      </c>
      <c r="L4" s="9" t="s">
        <v>16</v>
      </c>
      <c r="M4" s="13" t="s">
        <v>17</v>
      </c>
      <c r="N4" s="14" t="s">
        <v>18</v>
      </c>
      <c r="O4" s="15" t="s">
        <v>19</v>
      </c>
    </row>
    <row r="5" spans="1:20" ht="20.100000000000001" customHeight="1" x14ac:dyDescent="0.2">
      <c r="B5" s="53">
        <v>1</v>
      </c>
      <c r="C5" s="66">
        <v>100000</v>
      </c>
      <c r="D5" s="17" t="s">
        <v>63</v>
      </c>
      <c r="E5" s="17" t="s">
        <v>64</v>
      </c>
      <c r="F5" s="17" t="s">
        <v>65</v>
      </c>
      <c r="G5" s="67"/>
      <c r="H5" s="17" t="s">
        <v>66</v>
      </c>
      <c r="I5" s="21">
        <v>2.5</v>
      </c>
      <c r="J5" s="17" t="s">
        <v>26</v>
      </c>
      <c r="K5" s="17">
        <v>1</v>
      </c>
      <c r="L5" s="91">
        <v>315</v>
      </c>
      <c r="M5" s="94"/>
      <c r="N5" s="68"/>
      <c r="O5" s="23">
        <f>M5*(IF(J5="א-ה",100,$O$3)*1.17)</f>
        <v>0</v>
      </c>
      <c r="P5" s="69"/>
    </row>
    <row r="6" spans="1:20" ht="20.100000000000001" customHeight="1" x14ac:dyDescent="0.2">
      <c r="B6" s="54"/>
      <c r="C6" s="70"/>
      <c r="D6" s="25" t="s">
        <v>63</v>
      </c>
      <c r="E6" s="25" t="s">
        <v>64</v>
      </c>
      <c r="F6" s="25" t="s">
        <v>65</v>
      </c>
      <c r="G6" s="71"/>
      <c r="H6" s="25" t="s">
        <v>67</v>
      </c>
      <c r="I6" s="29">
        <v>2.5</v>
      </c>
      <c r="J6" s="25" t="s">
        <v>26</v>
      </c>
      <c r="K6" s="25"/>
      <c r="L6" s="92">
        <v>315</v>
      </c>
      <c r="M6" s="95"/>
      <c r="N6" s="72"/>
      <c r="O6" s="31">
        <f>M6*(IF(J6="א-ה",100,$O$3)*1.17)</f>
        <v>0</v>
      </c>
    </row>
    <row r="7" spans="1:20" ht="20.100000000000001" customHeight="1" x14ac:dyDescent="0.2">
      <c r="B7" s="54">
        <v>2</v>
      </c>
      <c r="C7" s="70">
        <v>210001</v>
      </c>
      <c r="D7" s="25" t="s">
        <v>63</v>
      </c>
      <c r="E7" s="25" t="s">
        <v>114</v>
      </c>
      <c r="F7" s="25" t="s">
        <v>65</v>
      </c>
      <c r="G7" s="71"/>
      <c r="H7" s="25" t="s">
        <v>66</v>
      </c>
      <c r="I7" s="29">
        <v>1.5</v>
      </c>
      <c r="J7" s="25" t="s">
        <v>30</v>
      </c>
      <c r="K7" s="25">
        <v>3</v>
      </c>
      <c r="L7" s="92">
        <v>257.77500000000003</v>
      </c>
      <c r="M7" s="95"/>
      <c r="N7" s="72"/>
      <c r="O7" s="31">
        <f>M7*(IF(J7="א-ה",$T$2,$O$3)*1.17)</f>
        <v>0</v>
      </c>
    </row>
    <row r="8" spans="1:20" ht="20.100000000000001" customHeight="1" x14ac:dyDescent="0.2">
      <c r="B8" s="54"/>
      <c r="C8" s="70"/>
      <c r="D8" s="25" t="s">
        <v>63</v>
      </c>
      <c r="E8" s="25" t="s">
        <v>114</v>
      </c>
      <c r="F8" s="25" t="s">
        <v>65</v>
      </c>
      <c r="G8" s="71"/>
      <c r="H8" s="25" t="s">
        <v>67</v>
      </c>
      <c r="I8" s="29">
        <v>1.5</v>
      </c>
      <c r="J8" s="25" t="s">
        <v>30</v>
      </c>
      <c r="K8" s="25">
        <v>3</v>
      </c>
      <c r="L8" s="92">
        <v>257.77500000000003</v>
      </c>
      <c r="M8" s="95"/>
      <c r="N8" s="72"/>
      <c r="O8" s="31">
        <f>M8*(IF(J8="א-ה",$T$2,$O$3)*1.17)</f>
        <v>0</v>
      </c>
    </row>
    <row r="9" spans="1:20" ht="20.100000000000001" customHeight="1" x14ac:dyDescent="0.2">
      <c r="B9" s="54">
        <v>3</v>
      </c>
      <c r="C9" s="70">
        <v>210004</v>
      </c>
      <c r="D9" s="25" t="s">
        <v>63</v>
      </c>
      <c r="E9" s="25" t="s">
        <v>68</v>
      </c>
      <c r="F9" s="25" t="s">
        <v>69</v>
      </c>
      <c r="G9" s="71"/>
      <c r="H9" s="25" t="s">
        <v>66</v>
      </c>
      <c r="I9" s="29">
        <v>1.5</v>
      </c>
      <c r="J9" s="25" t="s">
        <v>30</v>
      </c>
      <c r="K9" s="25">
        <v>4</v>
      </c>
      <c r="L9" s="92">
        <v>329.7</v>
      </c>
      <c r="M9" s="95"/>
      <c r="N9" s="72"/>
      <c r="O9" s="31">
        <f>M9*(IF(J9="א-ה",$T$2,$O$3)*1.17)</f>
        <v>0</v>
      </c>
    </row>
    <row r="10" spans="1:20" ht="20.100000000000001" customHeight="1" x14ac:dyDescent="0.2">
      <c r="B10" s="54"/>
      <c r="C10" s="70"/>
      <c r="D10" s="25" t="s">
        <v>63</v>
      </c>
      <c r="E10" s="25" t="s">
        <v>70</v>
      </c>
      <c r="F10" s="25" t="s">
        <v>69</v>
      </c>
      <c r="G10" s="71"/>
      <c r="H10" s="25" t="s">
        <v>67</v>
      </c>
      <c r="I10" s="29">
        <v>1.5</v>
      </c>
      <c r="J10" s="25" t="s">
        <v>30</v>
      </c>
      <c r="K10" s="25">
        <v>3</v>
      </c>
      <c r="L10" s="92">
        <v>329.7</v>
      </c>
      <c r="M10" s="95"/>
      <c r="N10" s="72"/>
      <c r="O10" s="31">
        <f>M10*(IF(J10="א-ה",$T$2,$O$3)*1.17)</f>
        <v>0</v>
      </c>
    </row>
    <row r="11" spans="1:20" ht="20.100000000000001" customHeight="1" x14ac:dyDescent="0.2">
      <c r="B11" s="54">
        <v>4</v>
      </c>
      <c r="C11" s="70"/>
      <c r="D11" s="25" t="s">
        <v>63</v>
      </c>
      <c r="E11" s="25" t="s">
        <v>71</v>
      </c>
      <c r="F11" s="25" t="s">
        <v>65</v>
      </c>
      <c r="G11" s="71">
        <v>0.69791666666666663</v>
      </c>
      <c r="H11" s="25" t="s">
        <v>72</v>
      </c>
      <c r="I11" s="29">
        <v>1.5</v>
      </c>
      <c r="J11" s="25" t="s">
        <v>30</v>
      </c>
      <c r="K11" s="25">
        <v>1</v>
      </c>
      <c r="L11" s="92">
        <v>164.85</v>
      </c>
      <c r="M11" s="95"/>
      <c r="N11" s="72"/>
      <c r="O11" s="31">
        <f>M11*(IF(J11="א-ה",$T$2,$O$3)*1.17)*2</f>
        <v>0</v>
      </c>
    </row>
    <row r="12" spans="1:20" ht="20.100000000000001" customHeight="1" x14ac:dyDescent="0.2">
      <c r="B12" s="54">
        <v>5</v>
      </c>
      <c r="C12" s="70">
        <v>210006</v>
      </c>
      <c r="D12" s="25" t="s">
        <v>63</v>
      </c>
      <c r="E12" s="25" t="s">
        <v>73</v>
      </c>
      <c r="F12" s="25" t="s">
        <v>35</v>
      </c>
      <c r="G12" s="71"/>
      <c r="H12" s="25" t="s">
        <v>66</v>
      </c>
      <c r="I12" s="29"/>
      <c r="J12" s="25" t="s">
        <v>30</v>
      </c>
      <c r="K12" s="25">
        <v>18</v>
      </c>
      <c r="L12" s="92">
        <v>110.25</v>
      </c>
      <c r="M12" s="95"/>
      <c r="N12" s="72"/>
      <c r="O12" s="31">
        <f>M12*(IF(J12="א-ה",$T$2,$O$3)*1.17)</f>
        <v>0</v>
      </c>
    </row>
    <row r="13" spans="1:20" ht="20.100000000000001" customHeight="1" x14ac:dyDescent="0.2">
      <c r="B13" s="54"/>
      <c r="C13" s="70"/>
      <c r="D13" s="25" t="s">
        <v>63</v>
      </c>
      <c r="E13" s="25" t="s">
        <v>74</v>
      </c>
      <c r="F13" s="25" t="s">
        <v>35</v>
      </c>
      <c r="G13" s="71"/>
      <c r="H13" s="25" t="s">
        <v>75</v>
      </c>
      <c r="I13" s="29"/>
      <c r="J13" s="25" t="s">
        <v>26</v>
      </c>
      <c r="K13" s="25"/>
      <c r="L13" s="92">
        <v>110.25</v>
      </c>
      <c r="M13" s="95"/>
      <c r="N13" s="72"/>
      <c r="O13" s="31">
        <f>M13*(IF(J13="א-ה",$T$2,$O$3)*1.17)</f>
        <v>0</v>
      </c>
      <c r="P13" s="69"/>
    </row>
    <row r="14" spans="1:20" ht="20.100000000000001" customHeight="1" x14ac:dyDescent="0.2">
      <c r="B14" s="54"/>
      <c r="C14" s="70"/>
      <c r="D14" s="25" t="s">
        <v>63</v>
      </c>
      <c r="E14" s="25" t="s">
        <v>76</v>
      </c>
      <c r="F14" s="25" t="s">
        <v>35</v>
      </c>
      <c r="G14" s="71"/>
      <c r="H14" s="25" t="s">
        <v>72</v>
      </c>
      <c r="I14" s="29"/>
      <c r="J14" s="25" t="s">
        <v>26</v>
      </c>
      <c r="K14" s="25"/>
      <c r="L14" s="92">
        <v>110.25</v>
      </c>
      <c r="M14" s="95"/>
      <c r="N14" s="72"/>
      <c r="O14" s="31">
        <f>M14*(IF(J14="א-ה",$T$2,$O$3)*1.17)*2</f>
        <v>0</v>
      </c>
      <c r="P14" s="69"/>
    </row>
    <row r="15" spans="1:20" ht="20.100000000000001" customHeight="1" x14ac:dyDescent="0.2">
      <c r="B15" s="54"/>
      <c r="C15" s="70"/>
      <c r="D15" s="25" t="s">
        <v>63</v>
      </c>
      <c r="E15" s="25" t="s">
        <v>77</v>
      </c>
      <c r="F15" s="25" t="s">
        <v>35</v>
      </c>
      <c r="G15" s="71"/>
      <c r="H15" s="25" t="s">
        <v>78</v>
      </c>
      <c r="I15" s="29"/>
      <c r="J15" s="25" t="s">
        <v>30</v>
      </c>
      <c r="K15" s="25"/>
      <c r="L15" s="92">
        <v>110.25</v>
      </c>
      <c r="M15" s="95"/>
      <c r="N15" s="72"/>
      <c r="O15" s="31">
        <f>M15*(IF(J15="א-ה",$T$2,$O$3)*1.17)*3</f>
        <v>0</v>
      </c>
      <c r="P15" s="69"/>
    </row>
    <row r="16" spans="1:20" ht="32.25" customHeight="1" x14ac:dyDescent="0.2">
      <c r="B16" s="54">
        <v>6</v>
      </c>
      <c r="C16" s="70" t="s">
        <v>79</v>
      </c>
      <c r="D16" s="25" t="s">
        <v>80</v>
      </c>
      <c r="E16" s="73" t="s">
        <v>81</v>
      </c>
      <c r="F16" s="25" t="s">
        <v>35</v>
      </c>
      <c r="G16" s="71"/>
      <c r="H16" s="25" t="s">
        <v>66</v>
      </c>
      <c r="I16" s="29">
        <v>1.5</v>
      </c>
      <c r="J16" s="25" t="s">
        <v>30</v>
      </c>
      <c r="K16" s="25">
        <v>11</v>
      </c>
      <c r="L16" s="92">
        <v>357</v>
      </c>
      <c r="M16" s="95"/>
      <c r="N16" s="72" t="s">
        <v>82</v>
      </c>
      <c r="O16" s="31">
        <f>M16*(IF(J16="א-ה",$T$2,$O$3)*1.17)*8/K16</f>
        <v>0</v>
      </c>
      <c r="P16" s="61"/>
    </row>
    <row r="17" spans="2:16" ht="20.100000000000001" customHeight="1" x14ac:dyDescent="0.2">
      <c r="B17" s="54">
        <v>7</v>
      </c>
      <c r="C17" s="70" t="s">
        <v>79</v>
      </c>
      <c r="D17" s="25" t="s">
        <v>80</v>
      </c>
      <c r="E17" s="25" t="s">
        <v>83</v>
      </c>
      <c r="F17" s="25" t="s">
        <v>65</v>
      </c>
      <c r="G17" s="71"/>
      <c r="H17" s="25" t="s">
        <v>75</v>
      </c>
      <c r="I17" s="29">
        <v>1.5</v>
      </c>
      <c r="J17" s="25" t="s">
        <v>30</v>
      </c>
      <c r="K17" s="25">
        <v>3</v>
      </c>
      <c r="L17" s="92">
        <v>150.15</v>
      </c>
      <c r="M17" s="95"/>
      <c r="N17" s="72" t="s">
        <v>82</v>
      </c>
      <c r="O17" s="31">
        <f>M17*(IF(J17="א-ה",$T$2,$O$3)*1.17)*2/K17</f>
        <v>0</v>
      </c>
      <c r="P17" s="61"/>
    </row>
    <row r="18" spans="2:16" ht="20.100000000000001" customHeight="1" x14ac:dyDescent="0.2">
      <c r="B18" s="54">
        <v>8</v>
      </c>
      <c r="C18" s="70" t="s">
        <v>79</v>
      </c>
      <c r="D18" s="25" t="s">
        <v>63</v>
      </c>
      <c r="E18" s="25" t="s">
        <v>84</v>
      </c>
      <c r="F18" s="25" t="s">
        <v>65</v>
      </c>
      <c r="G18" s="71"/>
      <c r="H18" s="25" t="s">
        <v>72</v>
      </c>
      <c r="I18" s="29">
        <v>1.5</v>
      </c>
      <c r="J18" s="25" t="s">
        <v>30</v>
      </c>
      <c r="K18" s="25">
        <v>4</v>
      </c>
      <c r="L18" s="92">
        <v>87.15</v>
      </c>
      <c r="M18" s="95"/>
      <c r="N18" s="72"/>
      <c r="O18" s="31">
        <f>M18*(IF(J18="א-ה",$T$2,$O$3)*1.17)*2</f>
        <v>0</v>
      </c>
      <c r="P18" s="61"/>
    </row>
    <row r="19" spans="2:16" ht="20.100000000000001" customHeight="1" x14ac:dyDescent="0.2">
      <c r="B19" s="54">
        <v>9</v>
      </c>
      <c r="C19" s="70"/>
      <c r="D19" s="25" t="s">
        <v>63</v>
      </c>
      <c r="E19" s="25" t="s">
        <v>85</v>
      </c>
      <c r="F19" s="25" t="s">
        <v>86</v>
      </c>
      <c r="G19" s="71"/>
      <c r="H19" s="25" t="s">
        <v>78</v>
      </c>
      <c r="I19" s="29">
        <v>1.5</v>
      </c>
      <c r="J19" s="25" t="s">
        <v>30</v>
      </c>
      <c r="K19" s="25">
        <v>4</v>
      </c>
      <c r="L19" s="92">
        <v>294</v>
      </c>
      <c r="M19" s="95"/>
      <c r="N19" s="72"/>
      <c r="O19" s="31">
        <f>M19*(IF(J19="א-ה",$T$2,$O$3)*1.17)*3</f>
        <v>0</v>
      </c>
    </row>
    <row r="20" spans="2:16" ht="20.100000000000001" customHeight="1" x14ac:dyDescent="0.2">
      <c r="B20" s="54">
        <v>10</v>
      </c>
      <c r="C20" s="70">
        <v>210008</v>
      </c>
      <c r="D20" s="25" t="s">
        <v>63</v>
      </c>
      <c r="E20" s="25" t="s">
        <v>87</v>
      </c>
      <c r="F20" s="25" t="s">
        <v>86</v>
      </c>
      <c r="G20" s="71"/>
      <c r="H20" s="25" t="s">
        <v>66</v>
      </c>
      <c r="I20" s="29">
        <v>1.5</v>
      </c>
      <c r="J20" s="25" t="s">
        <v>30</v>
      </c>
      <c r="K20" s="25">
        <v>3</v>
      </c>
      <c r="L20" s="92">
        <v>310.8</v>
      </c>
      <c r="M20" s="95"/>
      <c r="N20" s="72"/>
      <c r="O20" s="31">
        <f>M20*(IF(J20="א-ה",$T$2,$O$3)*1.17)</f>
        <v>0</v>
      </c>
    </row>
    <row r="21" spans="2:16" ht="20.100000000000001" customHeight="1" x14ac:dyDescent="0.2">
      <c r="B21" s="54"/>
      <c r="C21" s="70"/>
      <c r="D21" s="25" t="s">
        <v>63</v>
      </c>
      <c r="E21" s="25" t="s">
        <v>87</v>
      </c>
      <c r="F21" s="25" t="s">
        <v>86</v>
      </c>
      <c r="G21" s="71"/>
      <c r="H21" s="25" t="s">
        <v>67</v>
      </c>
      <c r="I21" s="29">
        <v>1.5</v>
      </c>
      <c r="J21" s="25" t="s">
        <v>30</v>
      </c>
      <c r="K21" s="25">
        <v>2</v>
      </c>
      <c r="L21" s="92">
        <v>310.8</v>
      </c>
      <c r="M21" s="95"/>
      <c r="N21" s="72"/>
      <c r="O21" s="31">
        <f>M21*(IF(J21="א-ה",$T$2,$O$3)*1.17)</f>
        <v>0</v>
      </c>
    </row>
    <row r="22" spans="2:16" ht="20.100000000000001" customHeight="1" x14ac:dyDescent="0.2">
      <c r="B22" s="54">
        <v>11</v>
      </c>
      <c r="C22" s="70"/>
      <c r="D22" s="25" t="s">
        <v>63</v>
      </c>
      <c r="E22" s="25" t="s">
        <v>87</v>
      </c>
      <c r="F22" s="25" t="s">
        <v>65</v>
      </c>
      <c r="G22" s="71"/>
      <c r="H22" s="25" t="s">
        <v>67</v>
      </c>
      <c r="I22" s="29">
        <v>1.5</v>
      </c>
      <c r="J22" s="25" t="s">
        <v>88</v>
      </c>
      <c r="K22" s="25">
        <v>1</v>
      </c>
      <c r="L22" s="92">
        <v>284.55</v>
      </c>
      <c r="M22" s="95"/>
      <c r="N22" s="72"/>
      <c r="O22" s="31">
        <f>M22*115*1.17</f>
        <v>0</v>
      </c>
    </row>
    <row r="23" spans="2:16" ht="20.100000000000001" customHeight="1" x14ac:dyDescent="0.2">
      <c r="B23" s="54">
        <v>12</v>
      </c>
      <c r="C23" s="70">
        <v>210009</v>
      </c>
      <c r="D23" s="25" t="s">
        <v>63</v>
      </c>
      <c r="E23" s="25" t="s">
        <v>89</v>
      </c>
      <c r="F23" s="25" t="s">
        <v>65</v>
      </c>
      <c r="G23" s="71"/>
      <c r="H23" s="25" t="s">
        <v>41</v>
      </c>
      <c r="I23" s="29">
        <v>2</v>
      </c>
      <c r="J23" s="25" t="s">
        <v>30</v>
      </c>
      <c r="K23" s="25">
        <v>1</v>
      </c>
      <c r="L23" s="92">
        <v>220.5</v>
      </c>
      <c r="M23" s="95"/>
      <c r="N23" s="72"/>
      <c r="O23" s="31">
        <f>M23*(IF(J23="א-ה",$T$2,$O$3)*1.17)*2</f>
        <v>0</v>
      </c>
      <c r="P23" s="69"/>
    </row>
    <row r="24" spans="2:16" ht="20.100000000000001" customHeight="1" x14ac:dyDescent="0.2">
      <c r="B24" s="54">
        <v>13</v>
      </c>
      <c r="C24" s="70">
        <v>210011</v>
      </c>
      <c r="D24" s="25" t="s">
        <v>63</v>
      </c>
      <c r="E24" s="25" t="s">
        <v>90</v>
      </c>
      <c r="F24" s="25" t="s">
        <v>65</v>
      </c>
      <c r="G24" s="71"/>
      <c r="H24" s="25" t="s">
        <v>41</v>
      </c>
      <c r="I24" s="29">
        <v>2</v>
      </c>
      <c r="J24" s="25" t="s">
        <v>30</v>
      </c>
      <c r="K24" s="25">
        <v>1</v>
      </c>
      <c r="L24" s="92">
        <v>254.10000000000002</v>
      </c>
      <c r="M24" s="95"/>
      <c r="N24" s="72"/>
      <c r="O24" s="31">
        <f>M24*(IF(J24="א-ה",$T$2,$O$3)*1.17)*2</f>
        <v>0</v>
      </c>
      <c r="P24" s="69"/>
    </row>
    <row r="25" spans="2:16" ht="20.100000000000001" customHeight="1" x14ac:dyDescent="0.2">
      <c r="B25" s="54">
        <v>14</v>
      </c>
      <c r="C25" s="70">
        <v>210012</v>
      </c>
      <c r="D25" s="25" t="s">
        <v>63</v>
      </c>
      <c r="E25" s="25" t="s">
        <v>91</v>
      </c>
      <c r="F25" s="25" t="s">
        <v>65</v>
      </c>
      <c r="G25" s="71"/>
      <c r="H25" s="25" t="s">
        <v>66</v>
      </c>
      <c r="I25" s="29">
        <v>1.5</v>
      </c>
      <c r="J25" s="25" t="s">
        <v>30</v>
      </c>
      <c r="K25" s="25">
        <v>1</v>
      </c>
      <c r="L25" s="92">
        <v>162.75</v>
      </c>
      <c r="M25" s="95"/>
      <c r="N25" s="72"/>
      <c r="O25" s="31">
        <f>M25*(IF(J25="א-ה",$T$2,$O$3)*1.17)</f>
        <v>0</v>
      </c>
    </row>
    <row r="26" spans="2:16" ht="20.100000000000001" customHeight="1" x14ac:dyDescent="0.2">
      <c r="B26" s="54"/>
      <c r="C26" s="70"/>
      <c r="D26" s="25" t="s">
        <v>63</v>
      </c>
      <c r="E26" s="25" t="s">
        <v>91</v>
      </c>
      <c r="F26" s="25" t="s">
        <v>65</v>
      </c>
      <c r="G26" s="71"/>
      <c r="H26" s="25" t="s">
        <v>75</v>
      </c>
      <c r="I26" s="29">
        <v>1.5</v>
      </c>
      <c r="J26" s="25" t="s">
        <v>30</v>
      </c>
      <c r="K26" s="25">
        <v>1</v>
      </c>
      <c r="L26" s="92">
        <v>162.75</v>
      </c>
      <c r="M26" s="95"/>
      <c r="N26" s="72"/>
      <c r="O26" s="31">
        <f>M26*(IF(J26="א-ה",$T$2,$O$3)*1.17)</f>
        <v>0</v>
      </c>
    </row>
    <row r="27" spans="2:16" ht="20.100000000000001" customHeight="1" x14ac:dyDescent="0.2">
      <c r="B27" s="54">
        <v>15</v>
      </c>
      <c r="C27" s="70"/>
      <c r="D27" s="25" t="s">
        <v>63</v>
      </c>
      <c r="E27" s="25" t="s">
        <v>92</v>
      </c>
      <c r="F27" s="25" t="s">
        <v>65</v>
      </c>
      <c r="G27" s="71"/>
      <c r="H27" s="25" t="s">
        <v>72</v>
      </c>
      <c r="I27" s="29"/>
      <c r="J27" s="25" t="s">
        <v>30</v>
      </c>
      <c r="K27" s="25">
        <v>1</v>
      </c>
      <c r="L27" s="92">
        <v>131.25</v>
      </c>
      <c r="M27" s="95"/>
      <c r="N27" s="72" t="s">
        <v>93</v>
      </c>
      <c r="O27" s="31">
        <f>M27*(IF(J27="א-ה",$T$2,$O$3)*1.17)*2</f>
        <v>0</v>
      </c>
    </row>
    <row r="28" spans="2:16" ht="20.100000000000001" customHeight="1" x14ac:dyDescent="0.2">
      <c r="B28" s="54">
        <v>16</v>
      </c>
      <c r="C28" s="70">
        <v>300330</v>
      </c>
      <c r="D28" s="25" t="s">
        <v>63</v>
      </c>
      <c r="E28" s="25" t="s">
        <v>94</v>
      </c>
      <c r="F28" s="25" t="s">
        <v>86</v>
      </c>
      <c r="G28" s="71"/>
      <c r="H28" s="25" t="s">
        <v>41</v>
      </c>
      <c r="I28" s="29">
        <v>2</v>
      </c>
      <c r="J28" s="25" t="s">
        <v>26</v>
      </c>
      <c r="K28" s="25">
        <v>2</v>
      </c>
      <c r="L28" s="92">
        <v>354.90000000000003</v>
      </c>
      <c r="M28" s="95"/>
      <c r="N28" s="72"/>
      <c r="O28" s="31">
        <f>M28*(IF(J28="א-ה",$T$2,$O$3)*1.17)*2</f>
        <v>0</v>
      </c>
      <c r="P28" s="69"/>
    </row>
    <row r="29" spans="2:16" ht="20.100000000000001" customHeight="1" x14ac:dyDescent="0.2">
      <c r="B29" s="54">
        <v>17</v>
      </c>
      <c r="C29" s="70">
        <v>300726</v>
      </c>
      <c r="D29" s="25" t="s">
        <v>95</v>
      </c>
      <c r="E29" s="25" t="s">
        <v>96</v>
      </c>
      <c r="F29" s="25" t="s">
        <v>65</v>
      </c>
      <c r="G29" s="71"/>
      <c r="H29" s="25" t="s">
        <v>41</v>
      </c>
      <c r="I29" s="29">
        <v>2</v>
      </c>
      <c r="J29" s="25" t="s">
        <v>30</v>
      </c>
      <c r="K29" s="25">
        <v>2</v>
      </c>
      <c r="L29" s="92">
        <v>234.15</v>
      </c>
      <c r="M29" s="95"/>
      <c r="N29" s="72" t="s">
        <v>97</v>
      </c>
      <c r="O29" s="31">
        <f>M29*(IF(J29="א-ה",$T$2,$O$3)*1.17)*2*2/5</f>
        <v>0</v>
      </c>
      <c r="P29" s="69"/>
    </row>
    <row r="30" spans="2:16" ht="20.100000000000001" customHeight="1" x14ac:dyDescent="0.2">
      <c r="B30" s="54">
        <v>18</v>
      </c>
      <c r="C30" s="70"/>
      <c r="D30" s="25" t="s">
        <v>63</v>
      </c>
      <c r="E30" s="25" t="s">
        <v>98</v>
      </c>
      <c r="F30" s="25" t="s">
        <v>65</v>
      </c>
      <c r="G30" s="71"/>
      <c r="H30" s="25" t="s">
        <v>41</v>
      </c>
      <c r="I30" s="29">
        <v>1.5</v>
      </c>
      <c r="J30" s="25" t="s">
        <v>30</v>
      </c>
      <c r="K30" s="25">
        <v>1</v>
      </c>
      <c r="L30" s="92">
        <v>248.85000000000002</v>
      </c>
      <c r="M30" s="95"/>
      <c r="N30" s="72"/>
      <c r="O30" s="31">
        <f>M30*(IF(J30="א-ה",$T$2,$O$3)*1.17)*2</f>
        <v>0</v>
      </c>
      <c r="P30" s="69"/>
    </row>
    <row r="31" spans="2:16" ht="20.100000000000001" customHeight="1" x14ac:dyDescent="0.2">
      <c r="B31" s="54">
        <v>19</v>
      </c>
      <c r="C31" s="74" t="s">
        <v>79</v>
      </c>
      <c r="D31" s="25" t="s">
        <v>63</v>
      </c>
      <c r="E31" s="25" t="s">
        <v>99</v>
      </c>
      <c r="F31" s="25" t="s">
        <v>65</v>
      </c>
      <c r="G31" s="71"/>
      <c r="H31" s="25" t="s">
        <v>41</v>
      </c>
      <c r="I31" s="29">
        <v>2</v>
      </c>
      <c r="J31" s="25" t="s">
        <v>30</v>
      </c>
      <c r="K31" s="25">
        <v>1</v>
      </c>
      <c r="L31" s="92">
        <v>380.1</v>
      </c>
      <c r="M31" s="95"/>
      <c r="N31" s="72"/>
      <c r="O31" s="31">
        <f>M31*(IF(J31="א-ה",$T$2,$O$3)*1.17)*2</f>
        <v>0</v>
      </c>
      <c r="P31" s="69"/>
    </row>
    <row r="32" spans="2:16" ht="20.100000000000001" customHeight="1" x14ac:dyDescent="0.2">
      <c r="B32" s="54">
        <v>20</v>
      </c>
      <c r="C32" s="70"/>
      <c r="D32" s="25" t="s">
        <v>63</v>
      </c>
      <c r="E32" s="25" t="s">
        <v>100</v>
      </c>
      <c r="F32" s="25" t="s">
        <v>65</v>
      </c>
      <c r="G32" s="71"/>
      <c r="H32" s="25" t="s">
        <v>41</v>
      </c>
      <c r="I32" s="29">
        <v>2</v>
      </c>
      <c r="J32" s="25" t="s">
        <v>30</v>
      </c>
      <c r="K32" s="25">
        <v>3</v>
      </c>
      <c r="L32" s="92">
        <v>349.65000000000003</v>
      </c>
      <c r="M32" s="95"/>
      <c r="N32" s="72" t="s">
        <v>101</v>
      </c>
      <c r="O32" s="31">
        <f>M32*(IF(J32="א-ה",$T$2,$O$3)*1.17)*2*3/4</f>
        <v>0</v>
      </c>
      <c r="P32" s="69"/>
    </row>
    <row r="33" spans="1:18" ht="20.100000000000001" customHeight="1" x14ac:dyDescent="0.2">
      <c r="B33" s="54">
        <v>21</v>
      </c>
      <c r="C33" s="70"/>
      <c r="D33" s="25" t="s">
        <v>63</v>
      </c>
      <c r="E33" s="25" t="s">
        <v>102</v>
      </c>
      <c r="F33" s="25" t="s">
        <v>65</v>
      </c>
      <c r="G33" s="71"/>
      <c r="H33" s="25" t="s">
        <v>41</v>
      </c>
      <c r="I33" s="29">
        <v>2.5</v>
      </c>
      <c r="J33" s="25" t="s">
        <v>26</v>
      </c>
      <c r="K33" s="25">
        <v>1</v>
      </c>
      <c r="L33" s="92">
        <v>416.85</v>
      </c>
      <c r="M33" s="95"/>
      <c r="N33" s="72" t="s">
        <v>101</v>
      </c>
      <c r="O33" s="31">
        <f>M33*(IF(J33="א-ה",$T$2,$O$3)*1.17)*2/2</f>
        <v>0</v>
      </c>
      <c r="P33" s="69"/>
    </row>
    <row r="34" spans="1:18" ht="20.100000000000001" customHeight="1" x14ac:dyDescent="0.2">
      <c r="B34" s="54">
        <v>22</v>
      </c>
      <c r="C34" s="70"/>
      <c r="D34" s="25" t="s">
        <v>63</v>
      </c>
      <c r="E34" s="25" t="s">
        <v>103</v>
      </c>
      <c r="F34" s="25" t="s">
        <v>65</v>
      </c>
      <c r="G34" s="71"/>
      <c r="H34" s="25" t="s">
        <v>41</v>
      </c>
      <c r="I34" s="29">
        <v>2</v>
      </c>
      <c r="J34" s="25" t="s">
        <v>26</v>
      </c>
      <c r="K34" s="25">
        <v>2</v>
      </c>
      <c r="L34" s="92">
        <v>411.6</v>
      </c>
      <c r="M34" s="95"/>
      <c r="N34" s="72" t="s">
        <v>101</v>
      </c>
      <c r="O34" s="31">
        <f>M34*(IF(J34="א-ה",$T$2,$O$3)*1.17)*2*2/4</f>
        <v>0</v>
      </c>
      <c r="P34" s="69"/>
    </row>
    <row r="35" spans="1:18" ht="20.100000000000001" customHeight="1" thickBot="1" x14ac:dyDescent="0.25">
      <c r="B35" s="56">
        <v>23</v>
      </c>
      <c r="C35" s="75"/>
      <c r="D35" s="42" t="s">
        <v>63</v>
      </c>
      <c r="E35" s="42" t="s">
        <v>104</v>
      </c>
      <c r="F35" s="42" t="s">
        <v>86</v>
      </c>
      <c r="G35" s="76"/>
      <c r="H35" s="42" t="s">
        <v>41</v>
      </c>
      <c r="I35" s="77">
        <v>2</v>
      </c>
      <c r="J35" s="42" t="s">
        <v>26</v>
      </c>
      <c r="K35" s="42">
        <v>6</v>
      </c>
      <c r="L35" s="93">
        <v>338.1</v>
      </c>
      <c r="M35" s="97"/>
      <c r="N35" s="78" t="s">
        <v>101</v>
      </c>
      <c r="O35" s="38">
        <f>M35*(IF(J35="א-ה",$T$2,$O$3)*1.17)*2*6/10</f>
        <v>0</v>
      </c>
      <c r="P35" s="69"/>
    </row>
    <row r="36" spans="1:18" ht="20.25" customHeight="1" thickBot="1" x14ac:dyDescent="0.3">
      <c r="O36" s="79">
        <f>SUM(O5:O35)</f>
        <v>0</v>
      </c>
    </row>
    <row r="37" spans="1:18" ht="16.5" thickBot="1" x14ac:dyDescent="0.3">
      <c r="A37" s="7"/>
      <c r="B37" s="80" t="s">
        <v>105</v>
      </c>
      <c r="C37" s="81" t="s">
        <v>106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2"/>
    </row>
    <row r="38" spans="1:18" ht="16.5" customHeight="1" thickBot="1" x14ac:dyDescent="0.3">
      <c r="A38" s="7"/>
      <c r="B38" s="80"/>
      <c r="C38" s="81" t="s">
        <v>107</v>
      </c>
      <c r="D38" s="81"/>
      <c r="E38" s="81"/>
      <c r="F38" s="81"/>
      <c r="G38" s="81"/>
      <c r="H38" s="81"/>
      <c r="I38" s="81"/>
      <c r="J38" s="81"/>
      <c r="K38" s="81"/>
      <c r="L38" s="81"/>
      <c r="M38" s="98" t="s">
        <v>55</v>
      </c>
      <c r="N38" s="99"/>
      <c r="O38" s="58">
        <f>IF(O36=0,0,5000+2500*((IF(INT(O36/100000)=(O36/100000),0,1)+INT((O36-100000)/100000))))</f>
        <v>0</v>
      </c>
    </row>
    <row r="39" spans="1:18" ht="16.5" customHeight="1" thickBot="1" x14ac:dyDescent="0.3">
      <c r="A39" s="7"/>
      <c r="B39" s="80"/>
      <c r="C39" s="83" t="s">
        <v>108</v>
      </c>
      <c r="D39" s="83"/>
      <c r="E39" s="83"/>
      <c r="F39" s="83"/>
      <c r="G39" s="83"/>
      <c r="H39" s="83"/>
      <c r="I39" s="83"/>
      <c r="J39" s="81"/>
      <c r="K39" s="81"/>
      <c r="L39" s="81"/>
      <c r="M39" s="81"/>
      <c r="N39" s="81"/>
      <c r="O39" s="81"/>
      <c r="P39" s="81"/>
    </row>
    <row r="40" spans="1:18" ht="21" thickBot="1" x14ac:dyDescent="0.25">
      <c r="A40" s="7"/>
      <c r="B40" s="7" t="s">
        <v>109</v>
      </c>
      <c r="C40" s="84" t="s">
        <v>110</v>
      </c>
      <c r="D40" s="84"/>
      <c r="E40" s="85"/>
      <c r="F40" s="84"/>
      <c r="G40" s="84"/>
      <c r="H40" s="84"/>
      <c r="I40" s="84"/>
      <c r="J40" s="84"/>
      <c r="K40" s="84"/>
      <c r="L40" s="84"/>
      <c r="M40" s="98" t="s">
        <v>126</v>
      </c>
      <c r="N40" s="99"/>
      <c r="O40" s="58">
        <f>ח.רגיל!O16</f>
        <v>0</v>
      </c>
    </row>
    <row r="41" spans="1:18" ht="15" customHeight="1" thickBot="1" x14ac:dyDescent="0.25">
      <c r="A41" s="7"/>
      <c r="B41" s="7" t="s">
        <v>112</v>
      </c>
      <c r="C41" s="84" t="s">
        <v>115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7"/>
    </row>
    <row r="42" spans="1:18" ht="17.25" customHeight="1" thickBot="1" x14ac:dyDescent="0.25">
      <c r="A42" s="7"/>
      <c r="B42" s="7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98" t="s">
        <v>127</v>
      </c>
      <c r="N42" s="99"/>
      <c r="O42" s="58">
        <f>O38+O40</f>
        <v>0</v>
      </c>
    </row>
    <row r="43" spans="1:18" s="86" customFormat="1" ht="15.75" x14ac:dyDescent="0.25">
      <c r="A43" s="80"/>
      <c r="B43" s="80"/>
      <c r="C43" s="81" t="s">
        <v>111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0"/>
      <c r="R43" s="90"/>
    </row>
    <row r="46" spans="1:18" x14ac:dyDescent="0.2">
      <c r="B46" t="s">
        <v>50</v>
      </c>
      <c r="L46" t="s">
        <v>51</v>
      </c>
    </row>
    <row r="48" spans="1:18" x14ac:dyDescent="0.2">
      <c r="B48" t="s">
        <v>52</v>
      </c>
      <c r="I48" t="s">
        <v>53</v>
      </c>
    </row>
  </sheetData>
  <sheetProtection password="C683" sheet="1" objects="1" scenarios="1"/>
  <mergeCells count="8">
    <mergeCell ref="M40:N40"/>
    <mergeCell ref="M42:N42"/>
    <mergeCell ref="J1:N1"/>
    <mergeCell ref="J2:N2"/>
    <mergeCell ref="B3:L3"/>
    <mergeCell ref="M3:N3"/>
    <mergeCell ref="D4:E4"/>
    <mergeCell ref="M38:N38"/>
  </mergeCells>
  <pageMargins left="0.31496062992125984" right="0.39370078740157483" top="0.74803149606299213" bottom="0.74803149606299213" header="0.31496062992125984" footer="0.31496062992125984"/>
  <pageSetup paperSize="9" scale="64" orientation="portrait" r:id="rId1"/>
  <headerFooter>
    <oddFooter>&amp;A&amp;Rעמוד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rightToLeft="1" tabSelected="1" workbookViewId="0">
      <selection activeCell="O16" sqref="O16"/>
    </sheetView>
  </sheetViews>
  <sheetFormatPr defaultRowHeight="12.75" x14ac:dyDescent="0.2"/>
  <cols>
    <col min="2" max="2" width="5.140625" customWidth="1"/>
    <col min="3" max="3" width="11" customWidth="1"/>
    <col min="4" max="4" width="31.85546875" customWidth="1"/>
    <col min="5" max="5" width="8" customWidth="1"/>
    <col min="6" max="6" width="9.140625" customWidth="1"/>
    <col min="7" max="7" width="7.42578125" customWidth="1"/>
    <col min="9" max="9" width="7.5703125" customWidth="1"/>
    <col min="10" max="10" width="6.42578125" customWidth="1"/>
    <col min="11" max="11" width="7.5703125" customWidth="1"/>
    <col min="12" max="12" width="10.85546875" customWidth="1"/>
    <col min="13" max="13" width="10.42578125" bestFit="1" customWidth="1"/>
    <col min="14" max="14" width="13.85546875" customWidth="1"/>
    <col min="15" max="15" width="3.85546875" customWidth="1"/>
  </cols>
  <sheetData>
    <row r="1" spans="1:14" ht="23.25" customHeight="1" thickBot="1" x14ac:dyDescent="0.3">
      <c r="B1" s="1">
        <v>5</v>
      </c>
      <c r="D1" s="2" t="s">
        <v>0</v>
      </c>
      <c r="I1" s="100" t="s">
        <v>116</v>
      </c>
      <c r="J1" s="101"/>
      <c r="K1" s="101"/>
      <c r="L1" s="101"/>
      <c r="M1" s="102"/>
      <c r="N1" s="3">
        <f ca="1">TODAY()</f>
        <v>45452</v>
      </c>
    </row>
    <row r="2" spans="1:14" ht="15.75" thickBot="1" x14ac:dyDescent="0.3">
      <c r="B2" s="4" t="s">
        <v>117</v>
      </c>
      <c r="D2" s="5" t="s">
        <v>2</v>
      </c>
      <c r="I2" s="103" t="s">
        <v>3</v>
      </c>
      <c r="J2" s="104"/>
      <c r="K2" s="104"/>
      <c r="L2" s="104"/>
      <c r="M2" s="105"/>
      <c r="N2" s="6" t="s">
        <v>118</v>
      </c>
    </row>
    <row r="3" spans="1:14" ht="22.5" customHeight="1" thickBot="1" x14ac:dyDescent="0.25">
      <c r="A3" s="7"/>
      <c r="B3" s="106" t="s">
        <v>5</v>
      </c>
      <c r="C3" s="107"/>
      <c r="D3" s="107"/>
      <c r="E3" s="107"/>
      <c r="F3" s="107"/>
      <c r="G3" s="107"/>
      <c r="H3" s="107"/>
      <c r="I3" s="107"/>
      <c r="J3" s="107"/>
      <c r="K3" s="108"/>
      <c r="L3" s="109" t="s">
        <v>6</v>
      </c>
      <c r="M3" s="110"/>
    </row>
    <row r="4" spans="1:14" ht="48.75" customHeight="1" thickBot="1" x14ac:dyDescent="0.3">
      <c r="A4" s="7"/>
      <c r="B4" s="8" t="s">
        <v>7</v>
      </c>
      <c r="C4" s="114" t="s">
        <v>8</v>
      </c>
      <c r="D4" s="115"/>
      <c r="E4" s="10" t="s">
        <v>9</v>
      </c>
      <c r="F4" s="10" t="s">
        <v>11</v>
      </c>
      <c r="G4" s="10" t="s">
        <v>12</v>
      </c>
      <c r="H4" s="10" t="s">
        <v>13</v>
      </c>
      <c r="I4" s="10" t="s">
        <v>14</v>
      </c>
      <c r="J4" s="12" t="s">
        <v>15</v>
      </c>
      <c r="K4" s="9" t="s">
        <v>16</v>
      </c>
      <c r="L4" s="13" t="s">
        <v>17</v>
      </c>
      <c r="M4" s="14" t="s">
        <v>18</v>
      </c>
      <c r="N4" s="15" t="s">
        <v>19</v>
      </c>
    </row>
    <row r="5" spans="1:14" ht="20.100000000000001" customHeight="1" x14ac:dyDescent="0.2">
      <c r="B5" s="16">
        <v>1</v>
      </c>
      <c r="C5" s="17" t="s">
        <v>20</v>
      </c>
      <c r="D5" s="17" t="s">
        <v>119</v>
      </c>
      <c r="E5" s="17" t="s">
        <v>65</v>
      </c>
      <c r="F5" s="67" t="s">
        <v>23</v>
      </c>
      <c r="G5" s="17" t="s">
        <v>24</v>
      </c>
      <c r="H5" s="21" t="s">
        <v>120</v>
      </c>
      <c r="I5" s="17" t="s">
        <v>30</v>
      </c>
      <c r="J5" s="17">
        <v>1</v>
      </c>
      <c r="K5" s="18">
        <v>241</v>
      </c>
      <c r="L5" s="94"/>
      <c r="M5" s="22" t="s">
        <v>121</v>
      </c>
      <c r="N5" s="23">
        <f>L5*J5*240*2*1.17</f>
        <v>0</v>
      </c>
    </row>
    <row r="6" spans="1:14" ht="20.100000000000001" customHeight="1" x14ac:dyDescent="0.2">
      <c r="B6" s="24">
        <v>2</v>
      </c>
      <c r="C6" s="25" t="s">
        <v>20</v>
      </c>
      <c r="D6" s="25" t="s">
        <v>122</v>
      </c>
      <c r="E6" s="25" t="s">
        <v>65</v>
      </c>
      <c r="F6" s="71" t="s">
        <v>23</v>
      </c>
      <c r="G6" s="25" t="s">
        <v>24</v>
      </c>
      <c r="H6" s="29" t="s">
        <v>36</v>
      </c>
      <c r="I6" s="25" t="s">
        <v>30</v>
      </c>
      <c r="J6" s="25">
        <v>1</v>
      </c>
      <c r="K6" s="26">
        <v>263</v>
      </c>
      <c r="L6" s="95"/>
      <c r="M6" s="30" t="s">
        <v>123</v>
      </c>
      <c r="N6" s="31">
        <f>L6*J6*240*2*1.17</f>
        <v>0</v>
      </c>
    </row>
    <row r="7" spans="1:14" ht="20.100000000000001" customHeight="1" x14ac:dyDescent="0.2">
      <c r="B7" s="24">
        <v>3</v>
      </c>
      <c r="C7" s="25" t="s">
        <v>20</v>
      </c>
      <c r="D7" s="25" t="s">
        <v>124</v>
      </c>
      <c r="E7" s="25" t="s">
        <v>65</v>
      </c>
      <c r="F7" s="71" t="s">
        <v>23</v>
      </c>
      <c r="G7" s="25" t="s">
        <v>24</v>
      </c>
      <c r="H7" s="29" t="s">
        <v>125</v>
      </c>
      <c r="I7" s="25" t="s">
        <v>30</v>
      </c>
      <c r="J7" s="25">
        <v>1</v>
      </c>
      <c r="K7" s="26">
        <v>144</v>
      </c>
      <c r="L7" s="95"/>
      <c r="M7" s="30" t="s">
        <v>121</v>
      </c>
      <c r="N7" s="31">
        <f>L7*J7*240*2*1.17</f>
        <v>0</v>
      </c>
    </row>
    <row r="8" spans="1:14" ht="20.100000000000001" customHeight="1" thickBot="1" x14ac:dyDescent="0.25">
      <c r="B8" s="41">
        <v>4</v>
      </c>
      <c r="C8" s="42" t="s">
        <v>20</v>
      </c>
      <c r="D8" s="42" t="s">
        <v>128</v>
      </c>
      <c r="E8" s="42" t="s">
        <v>65</v>
      </c>
      <c r="F8" s="76" t="s">
        <v>23</v>
      </c>
      <c r="G8" s="42" t="s">
        <v>24</v>
      </c>
      <c r="H8" s="77" t="s">
        <v>129</v>
      </c>
      <c r="I8" s="42" t="s">
        <v>30</v>
      </c>
      <c r="J8" s="42">
        <v>1</v>
      </c>
      <c r="K8" s="44">
        <v>350</v>
      </c>
      <c r="L8" s="97"/>
      <c r="M8" s="87" t="s">
        <v>123</v>
      </c>
      <c r="N8" s="88">
        <f>SUM(N5:N7)</f>
        <v>0</v>
      </c>
    </row>
    <row r="13" spans="1:14" x14ac:dyDescent="0.2">
      <c r="B13" t="s">
        <v>50</v>
      </c>
      <c r="K13" t="s">
        <v>51</v>
      </c>
    </row>
    <row r="15" spans="1:14" x14ac:dyDescent="0.2">
      <c r="B15" t="s">
        <v>52</v>
      </c>
      <c r="H15" t="s">
        <v>53</v>
      </c>
    </row>
  </sheetData>
  <sheetProtection password="C683" sheet="1" objects="1" scenarios="1"/>
  <mergeCells count="5">
    <mergeCell ref="I1:M1"/>
    <mergeCell ref="I2:M2"/>
    <mergeCell ref="B3:K3"/>
    <mergeCell ref="L3:M3"/>
    <mergeCell ref="C4:D4"/>
  </mergeCells>
  <pageMargins left="0.31496062992125984" right="0.39370078740157483" top="0.74803149606299213" bottom="0.74803149606299213" header="0.31496062992125984" footer="0.31496062992125984"/>
  <pageSetup paperSize="9" scale="93" orientation="landscape" r:id="rId1"/>
  <headerFoot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CFACB20EACFFAE49A5D634E14491B3F6" ma:contentTypeVersion="21" ma:contentTypeDescription="צור מסמך חדש." ma:contentTypeScope="" ma:versionID="29fb4957e88ba58d21a0e4c7f71735e7">
  <xsd:schema xmlns:xsd="http://www.w3.org/2001/XMLSchema" xmlns:xs="http://www.w3.org/2001/XMLSchema" xmlns:p="http://schemas.microsoft.com/office/2006/metadata/properties" xmlns:ns2="a085feaf-2097-483c-8186-71a448349d79" xmlns:ns3="7872a5c4-2ab0-4222-85ac-8c5a15447aed" targetNamespace="http://schemas.microsoft.com/office/2006/metadata/properties" ma:root="true" ma:fieldsID="4ae1de67c7d7405d3f27b3218c8ad46b" ns2:_="" ns3:_="">
    <xsd:import namespace="a085feaf-2097-483c-8186-71a448349d79"/>
    <xsd:import namespace="7872a5c4-2ab0-4222-85ac-8c5a15447aed"/>
    <xsd:element name="properties">
      <xsd:complexType>
        <xsd:sequence>
          <xsd:element name="documentManagement">
            <xsd:complexType>
              <xsd:all>
                <xsd:element ref="ns2:Target_x0020_Audiences" minOccurs="0"/>
                <xsd:element ref="ns2:_ModernAudienceTargetUserField" minOccurs="0"/>
                <xsd:element ref="ns2:_ModernAudienceAadObjectId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5feaf-2097-483c-8186-71a448349d79" elementFormDefault="qualified">
    <xsd:import namespace="http://schemas.microsoft.com/office/2006/documentManagement/types"/>
    <xsd:import namespace="http://schemas.microsoft.com/office/infopath/2007/PartnerControls"/>
    <xsd:element name="Target_x0020_Audiences" ma:index="8" nillable="true" ma:displayName="Target Audiences" ma:internalName="Target_x0020_Audiences">
      <xsd:simpleType>
        <xsd:restriction base="dms:Unknown"/>
      </xsd:simpleType>
    </xsd:element>
    <xsd:element name="_ModernAudienceTargetUserField" ma:index="9" nillable="true" ma:displayName="קהל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0" nillable="true" ma:displayName="מזהי קהל" ma:list="{a44e6994-fc4a-4434-a36b-b569fe2deb48}" ma:internalName="_ModernAudienceAadObjectIds" ma:readOnly="true" ma:showField="_AadObjectIdForUser" ma:web="7872a5c4-2ab0-4222-85ac-8c5a15447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תגיות תמונה" ma:readOnly="false" ma:fieldId="{5cf76f15-5ced-4ddc-b409-7134ff3c332f}" ma:taxonomyMulti="true" ma:sspId="c6c64fc2-6676-4fc0-9715-b1c9d5cdc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72a5c4-2ab0-4222-85ac-8c5a15447ae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fe0ae43a-cad5-4d8f-8ce8-eb91e49bb601}" ma:internalName="TaxCatchAll" ma:showField="CatchAllData" ma:web="7872a5c4-2ab0-4222-85ac-8c5a15447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310A2D-85E4-41A0-8D77-09BD27EF3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85feaf-2097-483c-8186-71a448349d79"/>
    <ds:schemaRef ds:uri="7872a5c4-2ab0-4222-85ac-8c5a15447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772345-B3AE-4296-B101-D4DF011260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4</vt:i4>
      </vt:variant>
    </vt:vector>
  </HeadingPairs>
  <TitlesOfParts>
    <vt:vector size="7" baseType="lpstr">
      <vt:lpstr>ח.רגיל</vt:lpstr>
      <vt:lpstr>ח.מיוחד</vt:lpstr>
      <vt:lpstr>רווחה</vt:lpstr>
      <vt:lpstr>ח.מיוחד!WPrint_Area_W</vt:lpstr>
      <vt:lpstr>ח.רגיל!WPrint_Area_W</vt:lpstr>
      <vt:lpstr>רווחה!WPrint_Area_W</vt:lpstr>
      <vt:lpstr>ח.מיוחד!WPrint_TitlesW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אוהד חנוכה</cp:lastModifiedBy>
  <cp:lastPrinted>2024-06-09T08:25:21Z</cp:lastPrinted>
  <dcterms:created xsi:type="dcterms:W3CDTF">2024-05-30T12:47:04Z</dcterms:created>
  <dcterms:modified xsi:type="dcterms:W3CDTF">2024-06-09T08:25:23Z</dcterms:modified>
</cp:coreProperties>
</file>